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21480" yWindow="-120" windowWidth="19440" windowHeight="15600"/>
  </bookViews>
  <sheets>
    <sheet name="Reporte de Formatos" sheetId="1" r:id="rId1"/>
    <sheet name="Calendario anual 2024" sheetId="2" r:id="rId2"/>
  </sheets>
  <definedNames>
    <definedName name="_xlnm._FilterDatabase" localSheetId="0" hidden="1">'Reporte de Formatos'!$A$7:$N$7</definedName>
    <definedName name="AbrDom1">DATE(AñoCalendario,4,1)-WEEKDAY(DATE(AñoCalendario,4,1))+1</definedName>
    <definedName name="AgoDom1">DATE(AñoCalendario,8,1)-WEEKDAY(DATE(AñoCalendario,8,1))+1</definedName>
    <definedName name="AñoCalendario">'Calendario anual 2024'!$C$1</definedName>
    <definedName name="_xlnm.Print_Area" localSheetId="1">'Calendario anual 2024'!$B$1:$W$55</definedName>
    <definedName name="DecSun1">DATE(AñoCalendario,12,1)-WEEKDAY(DATE(AñoCalendario,12,1))+1</definedName>
    <definedName name="FebSun1">DATE(AñoCalendario,2,1)-WEEKDAY(DATE(AñoCalendario,2,1))+1</definedName>
    <definedName name="JanSun1">DATE(AñoCalendario,1,1)-WEEKDAY(DATE(AñoCalendario,1,1))+1</definedName>
    <definedName name="JulSun1">DATE(AñoCalendario,7,1)-WEEKDAY(DATE(AñoCalendario,7,1))+1</definedName>
    <definedName name="JunSun1">DATE(AñoCalendario,6,1)-WEEKDAY(DATE(AñoCalendario,6,1))+1</definedName>
    <definedName name="MarSun1">DATE(AñoCalendario,3,1)-WEEKDAY(DATE(AñoCalendario,3,1))+1</definedName>
    <definedName name="MaySun1">DATE(AñoCalendario,5,1)-WEEKDAY(DATE(AñoCalendario,5,1))+1</definedName>
    <definedName name="NovSun1">DATE(AñoCalendario,11,1)-WEEKDAY(DATE(AñoCalendario,11,1))+1</definedName>
    <definedName name="OctSun1">DATE(AñoCalendario,10,1)-WEEKDAY(DATE(AñoCalendario,10,1))+1</definedName>
    <definedName name="SepDom1">DATE(AñoCalendario,9,1)-WEEKDAY(DATE(AñoCalendario,9,1))+1</definedName>
  </definedNames>
  <calcPr calcId="144525"/>
</workbook>
</file>

<file path=xl/calcChain.xml><?xml version="1.0" encoding="utf-8"?>
<calcChain xmlns="http://schemas.openxmlformats.org/spreadsheetml/2006/main">
  <c r="Q55" i="2" l="1"/>
  <c r="P55" i="2"/>
  <c r="O55" i="2"/>
  <c r="N55" i="2"/>
  <c r="M55" i="2"/>
  <c r="L55" i="2"/>
  <c r="K55" i="2"/>
  <c r="I55" i="2"/>
  <c r="H55" i="2"/>
  <c r="G55" i="2"/>
  <c r="F55" i="2"/>
  <c r="E55" i="2"/>
  <c r="D55" i="2"/>
  <c r="C55" i="2"/>
  <c r="Q54" i="2"/>
  <c r="P54" i="2"/>
  <c r="O54" i="2"/>
  <c r="N54" i="2"/>
  <c r="M54" i="2"/>
  <c r="L54" i="2"/>
  <c r="K54" i="2"/>
  <c r="I54" i="2"/>
  <c r="H54" i="2"/>
  <c r="G54" i="2"/>
  <c r="F54" i="2"/>
  <c r="E54" i="2"/>
  <c r="D54" i="2"/>
  <c r="C54" i="2"/>
  <c r="Q53" i="2"/>
  <c r="P53" i="2"/>
  <c r="O53" i="2"/>
  <c r="N53" i="2"/>
  <c r="M53" i="2"/>
  <c r="L53" i="2"/>
  <c r="K53" i="2"/>
  <c r="I53" i="2"/>
  <c r="H53" i="2"/>
  <c r="G53" i="2"/>
  <c r="F53" i="2"/>
  <c r="E53" i="2"/>
  <c r="D53" i="2"/>
  <c r="C53" i="2"/>
  <c r="Q52" i="2"/>
  <c r="P52" i="2"/>
  <c r="O52" i="2"/>
  <c r="N52" i="2"/>
  <c r="M52" i="2"/>
  <c r="L52" i="2"/>
  <c r="K52" i="2"/>
  <c r="I52" i="2"/>
  <c r="H52" i="2"/>
  <c r="G52" i="2"/>
  <c r="F52" i="2"/>
  <c r="E52" i="2"/>
  <c r="D52" i="2"/>
  <c r="C52" i="2"/>
  <c r="Q51" i="2"/>
  <c r="P51" i="2"/>
  <c r="O51" i="2"/>
  <c r="N51" i="2"/>
  <c r="M51" i="2"/>
  <c r="L51" i="2"/>
  <c r="K51" i="2"/>
  <c r="I51" i="2"/>
  <c r="H51" i="2"/>
  <c r="G51" i="2"/>
  <c r="F51" i="2"/>
  <c r="E51" i="2"/>
  <c r="D51" i="2"/>
  <c r="C51" i="2"/>
  <c r="Q50" i="2"/>
  <c r="P50" i="2"/>
  <c r="O50" i="2"/>
  <c r="N50" i="2"/>
  <c r="M50" i="2"/>
  <c r="L50" i="2"/>
  <c r="K50" i="2"/>
  <c r="I50" i="2"/>
  <c r="H50" i="2"/>
  <c r="G50" i="2"/>
  <c r="F50" i="2"/>
  <c r="E50" i="2"/>
  <c r="D50" i="2"/>
  <c r="C50" i="2"/>
  <c r="Q46" i="2"/>
  <c r="P46" i="2"/>
  <c r="O46" i="2"/>
  <c r="N46" i="2"/>
  <c r="M46" i="2"/>
  <c r="L46" i="2"/>
  <c r="K46" i="2"/>
  <c r="I46" i="2"/>
  <c r="H46" i="2"/>
  <c r="G46" i="2"/>
  <c r="F46" i="2"/>
  <c r="E46" i="2"/>
  <c r="D46" i="2"/>
  <c r="C46" i="2"/>
  <c r="Q45" i="2"/>
  <c r="P45" i="2"/>
  <c r="O45" i="2"/>
  <c r="N45" i="2"/>
  <c r="M45" i="2"/>
  <c r="L45" i="2"/>
  <c r="K45" i="2"/>
  <c r="I45" i="2"/>
  <c r="H45" i="2"/>
  <c r="G45" i="2"/>
  <c r="F45" i="2"/>
  <c r="E45" i="2"/>
  <c r="D45" i="2"/>
  <c r="C45" i="2"/>
  <c r="Q44" i="2"/>
  <c r="P44" i="2"/>
  <c r="O44" i="2"/>
  <c r="N44" i="2"/>
  <c r="M44" i="2"/>
  <c r="L44" i="2"/>
  <c r="K44" i="2"/>
  <c r="I44" i="2"/>
  <c r="H44" i="2"/>
  <c r="G44" i="2"/>
  <c r="F44" i="2"/>
  <c r="E44" i="2"/>
  <c r="D44" i="2"/>
  <c r="C44" i="2"/>
  <c r="Q43" i="2"/>
  <c r="P43" i="2"/>
  <c r="O43" i="2"/>
  <c r="N43" i="2"/>
  <c r="M43" i="2"/>
  <c r="L43" i="2"/>
  <c r="K43" i="2"/>
  <c r="I43" i="2"/>
  <c r="H43" i="2"/>
  <c r="G43" i="2"/>
  <c r="F43" i="2"/>
  <c r="E43" i="2"/>
  <c r="D43" i="2"/>
  <c r="C43" i="2"/>
  <c r="Q42" i="2"/>
  <c r="P42" i="2"/>
  <c r="O42" i="2"/>
  <c r="N42" i="2"/>
  <c r="M42" i="2"/>
  <c r="L42" i="2"/>
  <c r="K42" i="2"/>
  <c r="I42" i="2"/>
  <c r="H42" i="2"/>
  <c r="G42" i="2"/>
  <c r="F42" i="2"/>
  <c r="E42" i="2"/>
  <c r="D42" i="2"/>
  <c r="C42" i="2"/>
  <c r="Q41" i="2"/>
  <c r="P41" i="2"/>
  <c r="O41" i="2"/>
  <c r="N41" i="2"/>
  <c r="M41" i="2"/>
  <c r="L41" i="2"/>
  <c r="K41" i="2"/>
  <c r="I41" i="2"/>
  <c r="H41" i="2"/>
  <c r="G41" i="2"/>
  <c r="F41" i="2"/>
  <c r="E41" i="2"/>
  <c r="D41" i="2"/>
  <c r="C41" i="2"/>
  <c r="Q37" i="2"/>
  <c r="P37" i="2"/>
  <c r="O37" i="2"/>
  <c r="N37" i="2"/>
  <c r="M37" i="2"/>
  <c r="L37" i="2"/>
  <c r="K37" i="2"/>
  <c r="I37" i="2"/>
  <c r="H37" i="2"/>
  <c r="G37" i="2"/>
  <c r="F37" i="2"/>
  <c r="E37" i="2"/>
  <c r="D37" i="2"/>
  <c r="C37" i="2"/>
  <c r="Q36" i="2"/>
  <c r="P36" i="2"/>
  <c r="O36" i="2"/>
  <c r="N36" i="2"/>
  <c r="M36" i="2"/>
  <c r="L36" i="2"/>
  <c r="K36" i="2"/>
  <c r="I36" i="2"/>
  <c r="H36" i="2"/>
  <c r="G36" i="2"/>
  <c r="F36" i="2"/>
  <c r="E36" i="2"/>
  <c r="D36" i="2"/>
  <c r="C36" i="2"/>
  <c r="Q35" i="2"/>
  <c r="P35" i="2"/>
  <c r="O35" i="2"/>
  <c r="N35" i="2"/>
  <c r="M35" i="2"/>
  <c r="L35" i="2"/>
  <c r="K35" i="2"/>
  <c r="I35" i="2"/>
  <c r="H35" i="2"/>
  <c r="G35" i="2"/>
  <c r="F35" i="2"/>
  <c r="E35" i="2"/>
  <c r="D35" i="2"/>
  <c r="C35" i="2"/>
  <c r="Q34" i="2"/>
  <c r="P34" i="2"/>
  <c r="O34" i="2"/>
  <c r="N34" i="2"/>
  <c r="M34" i="2"/>
  <c r="L34" i="2"/>
  <c r="K34" i="2"/>
  <c r="I34" i="2"/>
  <c r="H34" i="2"/>
  <c r="G34" i="2"/>
  <c r="F34" i="2"/>
  <c r="E34" i="2"/>
  <c r="D34" i="2"/>
  <c r="C34" i="2"/>
  <c r="Q33" i="2"/>
  <c r="P33" i="2"/>
  <c r="O33" i="2"/>
  <c r="N33" i="2"/>
  <c r="M33" i="2"/>
  <c r="L33" i="2"/>
  <c r="K33" i="2"/>
  <c r="I33" i="2"/>
  <c r="H33" i="2"/>
  <c r="G33" i="2"/>
  <c r="F33" i="2"/>
  <c r="E33" i="2"/>
  <c r="D33" i="2"/>
  <c r="C33" i="2"/>
  <c r="Q32" i="2"/>
  <c r="P32" i="2"/>
  <c r="O32" i="2"/>
  <c r="N32" i="2"/>
  <c r="M32" i="2"/>
  <c r="L32" i="2"/>
  <c r="K32" i="2"/>
  <c r="I32" i="2"/>
  <c r="H32" i="2"/>
  <c r="G32" i="2"/>
  <c r="F32" i="2"/>
  <c r="E32" i="2"/>
  <c r="D32" i="2"/>
  <c r="C32" i="2"/>
  <c r="Q28" i="2"/>
  <c r="P28" i="2"/>
  <c r="O28" i="2"/>
  <c r="N28" i="2"/>
  <c r="M28" i="2"/>
  <c r="L28" i="2"/>
  <c r="K28" i="2"/>
  <c r="I28" i="2"/>
  <c r="H28" i="2"/>
  <c r="G28" i="2"/>
  <c r="F28" i="2"/>
  <c r="E28" i="2"/>
  <c r="D28" i="2"/>
  <c r="C28" i="2"/>
  <c r="Q27" i="2"/>
  <c r="P27" i="2"/>
  <c r="O27" i="2"/>
  <c r="N27" i="2"/>
  <c r="M27" i="2"/>
  <c r="L27" i="2"/>
  <c r="K27" i="2"/>
  <c r="I27" i="2"/>
  <c r="H27" i="2"/>
  <c r="G27" i="2"/>
  <c r="F27" i="2"/>
  <c r="E27" i="2"/>
  <c r="D27" i="2"/>
  <c r="C27" i="2"/>
  <c r="Q26" i="2"/>
  <c r="P26" i="2"/>
  <c r="O26" i="2"/>
  <c r="N26" i="2"/>
  <c r="M26" i="2"/>
  <c r="L26" i="2"/>
  <c r="K26" i="2"/>
  <c r="I26" i="2"/>
  <c r="H26" i="2"/>
  <c r="G26" i="2"/>
  <c r="F26" i="2"/>
  <c r="E26" i="2"/>
  <c r="D26" i="2"/>
  <c r="C26" i="2"/>
  <c r="Q25" i="2"/>
  <c r="P25" i="2"/>
  <c r="O25" i="2"/>
  <c r="N25" i="2"/>
  <c r="M25" i="2"/>
  <c r="L25" i="2"/>
  <c r="K25" i="2"/>
  <c r="I25" i="2"/>
  <c r="H25" i="2"/>
  <c r="G25" i="2"/>
  <c r="F25" i="2"/>
  <c r="E25" i="2"/>
  <c r="D25" i="2"/>
  <c r="C25" i="2"/>
  <c r="Q24" i="2"/>
  <c r="P24" i="2"/>
  <c r="O24" i="2"/>
  <c r="N24" i="2"/>
  <c r="M24" i="2"/>
  <c r="L24" i="2"/>
  <c r="K24" i="2"/>
  <c r="I24" i="2"/>
  <c r="H24" i="2"/>
  <c r="G24" i="2"/>
  <c r="F24" i="2"/>
  <c r="E24" i="2"/>
  <c r="D24" i="2"/>
  <c r="C24" i="2"/>
  <c r="Q23" i="2"/>
  <c r="P23" i="2"/>
  <c r="O23" i="2"/>
  <c r="N23" i="2"/>
  <c r="M23" i="2"/>
  <c r="L23" i="2"/>
  <c r="K23" i="2"/>
  <c r="I23" i="2"/>
  <c r="H23" i="2"/>
  <c r="G23" i="2"/>
  <c r="F23" i="2"/>
  <c r="E23" i="2"/>
  <c r="D23" i="2"/>
  <c r="C23" i="2"/>
  <c r="Q19" i="2"/>
  <c r="P19" i="2"/>
  <c r="O19" i="2"/>
  <c r="N19" i="2"/>
  <c r="M19" i="2"/>
  <c r="L19" i="2"/>
  <c r="K19" i="2"/>
  <c r="I19" i="2"/>
  <c r="H19" i="2"/>
  <c r="G19" i="2"/>
  <c r="F19" i="2"/>
  <c r="E19" i="2"/>
  <c r="D19" i="2"/>
  <c r="C19" i="2"/>
  <c r="Q18" i="2"/>
  <c r="P18" i="2"/>
  <c r="O18" i="2"/>
  <c r="N18" i="2"/>
  <c r="M18" i="2"/>
  <c r="L18" i="2"/>
  <c r="K18" i="2"/>
  <c r="I18" i="2"/>
  <c r="H18" i="2"/>
  <c r="G18" i="2"/>
  <c r="F18" i="2"/>
  <c r="E18" i="2"/>
  <c r="D18" i="2"/>
  <c r="C18" i="2"/>
  <c r="Q17" i="2"/>
  <c r="P17" i="2"/>
  <c r="O17" i="2"/>
  <c r="N17" i="2"/>
  <c r="M17" i="2"/>
  <c r="L17" i="2"/>
  <c r="K17" i="2"/>
  <c r="I17" i="2"/>
  <c r="H17" i="2"/>
  <c r="G17" i="2"/>
  <c r="F17" i="2"/>
  <c r="E17" i="2"/>
  <c r="D17" i="2"/>
  <c r="C17" i="2"/>
  <c r="Q16" i="2"/>
  <c r="P16" i="2"/>
  <c r="O16" i="2"/>
  <c r="N16" i="2"/>
  <c r="M16" i="2"/>
  <c r="L16" i="2"/>
  <c r="K16" i="2"/>
  <c r="I16" i="2"/>
  <c r="H16" i="2"/>
  <c r="G16" i="2"/>
  <c r="F16" i="2"/>
  <c r="E16" i="2"/>
  <c r="D16" i="2"/>
  <c r="C16" i="2"/>
  <c r="Q15" i="2"/>
  <c r="P15" i="2"/>
  <c r="O15" i="2"/>
  <c r="N15" i="2"/>
  <c r="M15" i="2"/>
  <c r="L15" i="2"/>
  <c r="K15" i="2"/>
  <c r="I15" i="2"/>
  <c r="H15" i="2"/>
  <c r="G15" i="2"/>
  <c r="F15" i="2"/>
  <c r="E15" i="2"/>
  <c r="D15" i="2"/>
  <c r="C15" i="2"/>
  <c r="Q14" i="2"/>
  <c r="P14" i="2"/>
  <c r="O14" i="2"/>
  <c r="N14" i="2"/>
  <c r="M14" i="2"/>
  <c r="L14" i="2"/>
  <c r="K14" i="2"/>
  <c r="I14" i="2"/>
  <c r="H14" i="2"/>
  <c r="G14" i="2"/>
  <c r="F14" i="2"/>
  <c r="E14" i="2"/>
  <c r="D14" i="2"/>
  <c r="C14" i="2"/>
  <c r="Q10" i="2"/>
  <c r="P10" i="2"/>
  <c r="O10" i="2"/>
  <c r="N10" i="2"/>
  <c r="M10" i="2"/>
  <c r="L10" i="2"/>
  <c r="K10" i="2"/>
  <c r="I10" i="2"/>
  <c r="H10" i="2"/>
  <c r="G10" i="2"/>
  <c r="F10" i="2"/>
  <c r="E10" i="2"/>
  <c r="D10" i="2"/>
  <c r="C10" i="2"/>
  <c r="Q9" i="2"/>
  <c r="P9" i="2"/>
  <c r="O9" i="2"/>
  <c r="N9" i="2"/>
  <c r="M9" i="2"/>
  <c r="L9" i="2"/>
  <c r="K9" i="2"/>
  <c r="I9" i="2"/>
  <c r="H9" i="2"/>
  <c r="G9" i="2"/>
  <c r="F9" i="2"/>
  <c r="E9" i="2"/>
  <c r="D9" i="2"/>
  <c r="C9" i="2"/>
  <c r="Q8" i="2"/>
  <c r="P8" i="2"/>
  <c r="O8" i="2"/>
  <c r="N8" i="2"/>
  <c r="M8" i="2"/>
  <c r="L8" i="2"/>
  <c r="K8" i="2"/>
  <c r="I8" i="2"/>
  <c r="H8" i="2"/>
  <c r="G8" i="2"/>
  <c r="F8" i="2"/>
  <c r="E8" i="2"/>
  <c r="D8" i="2"/>
  <c r="C8" i="2"/>
  <c r="Q7" i="2"/>
  <c r="P7" i="2"/>
  <c r="O7" i="2"/>
  <c r="N7" i="2"/>
  <c r="M7" i="2"/>
  <c r="L7" i="2"/>
  <c r="K7" i="2"/>
  <c r="I7" i="2"/>
  <c r="H7" i="2"/>
  <c r="G7" i="2"/>
  <c r="F7" i="2"/>
  <c r="E7" i="2"/>
  <c r="D7" i="2"/>
  <c r="C7" i="2"/>
  <c r="Q6" i="2"/>
  <c r="P6" i="2"/>
  <c r="O6" i="2"/>
  <c r="N6" i="2"/>
  <c r="M6" i="2"/>
  <c r="L6" i="2"/>
  <c r="K6" i="2"/>
  <c r="I6" i="2"/>
  <c r="H6" i="2"/>
  <c r="G6" i="2"/>
  <c r="F6" i="2"/>
  <c r="E6" i="2"/>
  <c r="D6" i="2"/>
  <c r="C6" i="2"/>
  <c r="Q5" i="2"/>
  <c r="P5" i="2"/>
  <c r="O5" i="2"/>
  <c r="N5" i="2"/>
  <c r="M5" i="2"/>
  <c r="L5" i="2"/>
  <c r="K5" i="2"/>
  <c r="I5" i="2"/>
  <c r="H5" i="2"/>
  <c r="G5" i="2"/>
  <c r="F5" i="2"/>
  <c r="E5" i="2"/>
  <c r="D5" i="2"/>
  <c r="C5" i="2"/>
</calcChain>
</file>

<file path=xl/sharedStrings.xml><?xml version="1.0" encoding="utf-8"?>
<sst xmlns="http://schemas.openxmlformats.org/spreadsheetml/2006/main" count="963" uniqueCount="266">
  <si>
    <t>54783</t>
  </si>
  <si>
    <t>TÍTULO</t>
  </si>
  <si>
    <t>NOMBRE CORTO</t>
  </si>
  <si>
    <t>DESCRIPCIÓN</t>
  </si>
  <si>
    <t>Calendario Actualización</t>
  </si>
  <si>
    <t>A146_Calendario-Actualización</t>
  </si>
  <si>
    <t>Calendario de Actualización de la información de oficio publicada en el portal de Internet</t>
  </si>
  <si>
    <t>1</t>
  </si>
  <si>
    <t>3</t>
  </si>
  <si>
    <t>2</t>
  </si>
  <si>
    <t>4</t>
  </si>
  <si>
    <t>13</t>
  </si>
  <si>
    <t>14</t>
  </si>
  <si>
    <t>535445</t>
  </si>
  <si>
    <t>535444</t>
  </si>
  <si>
    <t>535451</t>
  </si>
  <si>
    <t>535447</t>
  </si>
  <si>
    <t>535453</t>
  </si>
  <si>
    <t>535448</t>
  </si>
  <si>
    <t>535449</t>
  </si>
  <si>
    <t>535452</t>
  </si>
  <si>
    <t>535446</t>
  </si>
  <si>
    <t>535440</t>
  </si>
  <si>
    <t>535439</t>
  </si>
  <si>
    <t>535450</t>
  </si>
  <si>
    <t>535454</t>
  </si>
  <si>
    <t>535441</t>
  </si>
  <si>
    <t>535443</t>
  </si>
  <si>
    <t>Tabla Campos</t>
  </si>
  <si>
    <t>Calendario de Actualización de las Obligaciones de</t>
  </si>
  <si>
    <t>Ejercicio</t>
  </si>
  <si>
    <t>Número de cada artículo de la LTAIPRC</t>
  </si>
  <si>
    <t>Texto de cada artículo de la LTAIPRC</t>
  </si>
  <si>
    <t>Número de cada una de las fracciones</t>
  </si>
  <si>
    <t>Texto de cada una de las fracciones</t>
  </si>
  <si>
    <t>Aplicabilidad del artículo o fracción</t>
  </si>
  <si>
    <t>Periodo de actualización de cada artículo y/o frac</t>
  </si>
  <si>
    <t>Especificar la referencia normativa</t>
  </si>
  <si>
    <t>Fecha de publicación de la información</t>
  </si>
  <si>
    <t>Áreas o unidades administrativas responsables</t>
  </si>
  <si>
    <t>Área(s) responsable(s) de la información</t>
  </si>
  <si>
    <t>Fecha de validación</t>
  </si>
  <si>
    <t>Fecha de Actualización</t>
  </si>
  <si>
    <t>Nota</t>
  </si>
  <si>
    <t>Los sujetos obligados, deberán mantener impresa para consulta directa de los particulares, difundir y mantener actualizada a través de los respectivos medios electrónicos, de sus sitios de internet y de la Plataforma Nacional de Transparencia, la información, por lo menos, de los temas, documentos y políticas siguientes según les corresponda:</t>
  </si>
  <si>
    <t>LGTAIP, LTAIPCDMX y Lineamientos</t>
  </si>
  <si>
    <t>Cree un calendario para una pequeña empresa para cualquier año en esta hoja de cálculo. Encontrará instrucciones útiles sobre cómo usar esta hoja de cálculo en las celdas de esta columna. Seleccione el control de número en la celda de la derecha para cambiar el año en la celda C1. La etiqueta de fechas importante se encuentra en la celda U1</t>
  </si>
  <si>
    <t>Fechas de actualización</t>
  </si>
  <si>
    <t xml:space="preserve"> Detalle de contenidos a actualizar en el periodo marcado</t>
  </si>
  <si>
    <t>La sugerencia se encuentra en la celda de la derecha</t>
  </si>
  <si>
    <t>Utilice el control de número para cambiar el año del calendario.</t>
  </si>
  <si>
    <t>El calendario del año seleccionado está en las celdas de C3 a Q55, el calendario de enero en las celdas de C4 a I10, y el calendario de febrero en las celdas de K4 a P10. La etiqueta de enero se encuentra en la celda C3 y la de febrero en la celda K3. Escriba las fechas y ocasiones importantes en las celdas de U3 a U42</t>
  </si>
  <si>
    <t>ENERO</t>
  </si>
  <si>
    <t>FEBRERO</t>
  </si>
  <si>
    <t>La tabla de calendario de enero se encuentra en las celdas de C4 a I10, y la tabla de calendario de febrero se encuentra en las celdas de K4 a P10. La instrucción siguiente se encuentra en la celda A12.</t>
  </si>
  <si>
    <t>LUN</t>
  </si>
  <si>
    <t>MAR</t>
  </si>
  <si>
    <t>MIÉ.</t>
  </si>
  <si>
    <t>JUE</t>
  </si>
  <si>
    <t>VIE</t>
  </si>
  <si>
    <t>SÁB</t>
  </si>
  <si>
    <t>DOM</t>
  </si>
  <si>
    <t xml:space="preserve"> Programación de publicaciones en el Portal 2024</t>
  </si>
  <si>
    <t>Actualización Primaria</t>
  </si>
  <si>
    <t>Actualización Secundaria</t>
  </si>
  <si>
    <t>La etiqueta de marzo se encuentra en la celda C12 y la de abril en la celda K12</t>
  </si>
  <si>
    <t>MARZO</t>
  </si>
  <si>
    <t>ABRIL</t>
  </si>
  <si>
    <t>Fecha en visualización a la ciudadanía</t>
  </si>
  <si>
    <t>La tabla de calendario de marzo se encuentra en las celdas de C13 a I19, y la tabla de calendario de abril en las celdas de K13 a Q19. La instrucción siguiente se encuentra en la celda A21</t>
  </si>
  <si>
    <t>MIÉ</t>
  </si>
  <si>
    <t>Actualización</t>
  </si>
  <si>
    <t>Actividades</t>
  </si>
  <si>
    <t>Descripción del contenido a actualizar</t>
  </si>
  <si>
    <t>Primaria</t>
  </si>
  <si>
    <t>Actualización csv estádistica</t>
  </si>
  <si>
    <t>Vivienda unifamiliar y multifamiliar</t>
  </si>
  <si>
    <t>Publicación de nuevas páginas</t>
  </si>
  <si>
    <t>Micrositios nuevos (textos, documentos, hipervinculos, imágenes, etc.)</t>
  </si>
  <si>
    <t>La etiqueta de mayo se encuentra en la celda C21 y la de junio en la celda K21</t>
  </si>
  <si>
    <t>MAYO</t>
  </si>
  <si>
    <t>JUNIO</t>
  </si>
  <si>
    <t>La tabla de calendario de mayo se encuentra en las celdas de C22 a I28 y la tabla de calendario de julio se encuentra en las celdas de K22 a Q28. La instrucción siguiente se encuentra en la celda A30</t>
  </si>
  <si>
    <t>Actualización de nuevo contenido</t>
  </si>
  <si>
    <t>Rezago de información a publicar</t>
  </si>
  <si>
    <t>Secundaria</t>
  </si>
  <si>
    <t>Actualización de gráficas</t>
  </si>
  <si>
    <t>Fideicomiso</t>
  </si>
  <si>
    <t>La etiqueta de julio se encuentra en la celda C30 y la de agosto en la celda K30</t>
  </si>
  <si>
    <t>JULIO</t>
  </si>
  <si>
    <t>AGOSTO</t>
  </si>
  <si>
    <t>Rentas</t>
  </si>
  <si>
    <t>Tabla de calendario de julio se encuentra en las celdas de C31 a I37 y la tabla de calendario de agosto se encuentra en las celdas de K31 a Q37. La instrucción siguiente se encuentra en la celda A39.</t>
  </si>
  <si>
    <t xml:space="preserve">Minutas </t>
  </si>
  <si>
    <t>Marco Normativo (constituciones, leyes y reglamentos e Instrumentos Normativos internos)
Descargas Rápidas 
Convenios</t>
  </si>
  <si>
    <t>Informe de Patrimonio Cultural</t>
  </si>
  <si>
    <t>Estudios de Suelo</t>
  </si>
  <si>
    <t>La etiqueta de septiembre se encuentra en la celda C39 y la de octubre en la celda K39</t>
  </si>
  <si>
    <t>SEPTIEMBRE</t>
  </si>
  <si>
    <t>OCTUBRE</t>
  </si>
  <si>
    <t>La tabla de calendario de septiembre se encuentra en las celdas de C40 a I46 y la de octubre en las celdas de K40 a Q46. La instrucción siguiente se encuentra en la celda A44</t>
  </si>
  <si>
    <t>Escriba la dirección postal en la celda U44.</t>
  </si>
  <si>
    <t>Escriba la ciudad, el estado o la provincia y el código postal en la celda U45. La instrucción siguiente está en la celda A47</t>
  </si>
  <si>
    <t>Escriba el número de teléfono de la empresa en la celda U47</t>
  </si>
  <si>
    <t>La etiqueta de noviembre se encuentra en la celda C48 y la de diciembre en la celda K48. Escriba la dirección de correo electrónico en la celda U48</t>
  </si>
  <si>
    <t>NOVIEMBRE</t>
  </si>
  <si>
    <t>DICIEMBRE</t>
  </si>
  <si>
    <t>La tabla de calendario de noviembre se encuentra en las celdas de C49 a I55 y la de diciembre en las celdas de K49 a Q55. La instrucción siguiente se encuentra en la celda A51.</t>
  </si>
  <si>
    <t>Agregue el logotipo de la empresa en la celda U51.</t>
  </si>
  <si>
    <t>El marcador de posición del logotipo se encuentra en esta celda.</t>
  </si>
  <si>
    <t>Subdirección de Sistema de Datos</t>
  </si>
  <si>
    <t>abril, mayo, junio de 2024</t>
  </si>
  <si>
    <t>I</t>
  </si>
  <si>
    <t>II</t>
  </si>
  <si>
    <t>III</t>
  </si>
  <si>
    <t>IV</t>
  </si>
  <si>
    <t>V</t>
  </si>
  <si>
    <t>VI</t>
  </si>
  <si>
    <t>VII</t>
  </si>
  <si>
    <t>VIII</t>
  </si>
  <si>
    <t>IX</t>
  </si>
  <si>
    <t>X</t>
  </si>
  <si>
    <t>XI</t>
  </si>
  <si>
    <t>XII</t>
  </si>
  <si>
    <t>XIII</t>
  </si>
  <si>
    <t>XIV</t>
  </si>
  <si>
    <t>XV</t>
  </si>
  <si>
    <t>XVI</t>
  </si>
  <si>
    <t>XVII</t>
  </si>
  <si>
    <t>XVIII</t>
  </si>
  <si>
    <t>XIX</t>
  </si>
  <si>
    <t>XX</t>
  </si>
  <si>
    <t>XXI</t>
  </si>
  <si>
    <t>XXII</t>
  </si>
  <si>
    <t>XXIII</t>
  </si>
  <si>
    <t>XXIV</t>
  </si>
  <si>
    <t>XXV</t>
  </si>
  <si>
    <t>XXVI</t>
  </si>
  <si>
    <t>XXVII</t>
  </si>
  <si>
    <t>XXVIII</t>
  </si>
  <si>
    <t>XXIX</t>
  </si>
  <si>
    <t>XXX</t>
  </si>
  <si>
    <t>XXXI</t>
  </si>
  <si>
    <t>XXXII</t>
  </si>
  <si>
    <t>XXXIII</t>
  </si>
  <si>
    <t>XXXIV</t>
  </si>
  <si>
    <t>XXXV</t>
  </si>
  <si>
    <t>XXXVI</t>
  </si>
  <si>
    <t>XXXVII</t>
  </si>
  <si>
    <t>XXXVIII</t>
  </si>
  <si>
    <t>XXXIX</t>
  </si>
  <si>
    <t>XL</t>
  </si>
  <si>
    <t>XLI</t>
  </si>
  <si>
    <t>XLII</t>
  </si>
  <si>
    <t>XLIII</t>
  </si>
  <si>
    <t>XLIV</t>
  </si>
  <si>
    <t>XLV</t>
  </si>
  <si>
    <t>XLVI</t>
  </si>
  <si>
    <t>XLVII</t>
  </si>
  <si>
    <t>XLVIII</t>
  </si>
  <si>
    <t>XLIX</t>
  </si>
  <si>
    <t>L</t>
  </si>
  <si>
    <t>LI</t>
  </si>
  <si>
    <t>LII</t>
  </si>
  <si>
    <t>LIII</t>
  </si>
  <si>
    <t>LIV</t>
  </si>
  <si>
    <t>Además de lo señalado en el artículo anterior de la presente Ley, el Poder Ejecutivo de la Ciudad de México deberá mantener actualizada, de forma impresa para consulta directa y en los respectivos sitios de internet, de acuerdo con sus funciones, según corresponda, la información respecto de los temas, documentos y políticas que a continuación se detallan:</t>
  </si>
  <si>
    <t>UNICO</t>
  </si>
  <si>
    <t>Los sujetos obligados deberán dar acceso a la información a que se refiere este capítulo mediante bases de datos que permitan la búsqueda y extracción de información. Ésta además estará en formatos para la fácil comprensión de las personas, procurando que la información se encuentre disponible en lenguas indígenas. Además las páginas contarán con buscadores temáticos y disponer de un respaldo con todos los registros electrónicos para cualquier persona que lo solicite.</t>
  </si>
  <si>
    <t xml:space="preserve"> Los sujetos obligados contarán en la página de inicio de sus portales de Internet con una señalización fácilmente identificable y accesible que cumpla con los requerimientos de sistematización, comprensión y organización de la información a que se refiere este capítulo. El Instituto establecerá criterios que permitan homologar la presentación de la información en los portales de Internet en los que se establecerá plazos, términos, así como los formatos que habrán de utilizarse para la publicidad de la información; asimismo; promoverá la creación de medios electrónicos para incorporar, localizar y facilitar el acceso a la información pública de oficio.</t>
  </si>
  <si>
    <t xml:space="preserve">Con el objeto de verificar que la información pública que recibe cualquier persona es la versión más actualizada, el sujeto obligado deberá difundir, dentro del primer mes de cada año, un calendario de actualización, por cada contenido de información y el área responsable. En caso de que no exista una norma que ya instruya la actualización de algún contenido, éste deberá actualizarse al menos cada tres meses. En todos los casos se deberá indicar la última actualización por cada rubro. El Instituto realizará, de forma trimestral revisiones a los portales de transparencia de los sujetos obligados a fin de verificar el cumplimiento de las obligaciones contenidas en este Título. </t>
  </si>
  <si>
    <t>Cada Área del sujeto obligado elaborará un índice de la información que
previamente haya sido clasificada como reservada, por Área responsable de la información y tema.                                                                                                                                                                                          El índice deberá elaborarse semestralmente y publicarse en formatos abiertos al día siguiente de su elaboración. Dicho índice deberá  indicar el Área que generó la información, las características de la información, si se trata de una reserva completa o parcial, la fecha en que inicia y finaliza la reserva, su justificación, el plazo de reserva y, en su caso, las partes que se reservan y si se encuentra en prórroga. 
En ningún caso el índice será considerado como información reservada.</t>
  </si>
  <si>
    <t xml:space="preserve">00 TABLA DE APLICABILIDAD </t>
  </si>
  <si>
    <t>Aplica</t>
  </si>
  <si>
    <t xml:space="preserve">depende su modificacion </t>
  </si>
  <si>
    <t xml:space="preserve">El marco normativo aplicable al sujeto obligado, en el que deberá incluirse la gaceta oficial, leyes, códigos, reglamentos, decretos de creación, reglas de procedimiento, manuales administrativos, reglas de operación, criterios, políticas emitidas aplicables al ámbito de su competencia, entre otros; </t>
  </si>
  <si>
    <t>Trimestral</t>
  </si>
  <si>
    <t>Su estructura orgánica completa, en un formato que permita vincular cada parte de la estructura, las atribuciones y responsabilidades que le corresponden a cada persona servidora pública prestador de servicios profesionales o miembro de los sujetos obligados, de conformidad con las disposiciones aplicables;</t>
  </si>
  <si>
    <t>Las facultades de cada Área y las relativas a las funciones</t>
  </si>
  <si>
    <t>Las metas y objetivos de las Áreas de conformidad con sus programas operativos</t>
  </si>
  <si>
    <t>Los indicadores relacionados con temas de interés público o trascendencia social que conforme a sus funciones, deban establecer</t>
  </si>
  <si>
    <t>Los indicadores que permitan rendir cuenta de sus objetivos, metas y resultados</t>
  </si>
  <si>
    <t>Los planes, programas o proyectos, con indicadores de gestión, de resultados y sus metas, que permitan evaluar su desempeño por área de conformidad con sus programas operativos</t>
  </si>
  <si>
    <t>El directorio de todas las personas servidoras públicas, desde el titular del sujeto obligado hasta jefe de departamento o su equivalente, o de menor nivel, cuando se brinde atención al público; manejen o apliquen recursos públicos; realicen actos de autoridad o presten servicios profesionales bajo el régimen de confianza u honorarios y personal de base. El directorio deberá incluir, al menos el nombre, fotografía, cargo o nombramiento asignado, nivel del puesto en la estructura orgánica, fecha de alta en el cargo, número telefónico, domicilio para recibir correspondencia y dirección de correo electrónico oficiales;</t>
  </si>
  <si>
    <t>La remuneración mensual bruta y neta de todas las personas servidoras públicas de base o de confianza, de todas las percepciones, incluyendo sueldos, prestaciones, gratificaciones, primas, comisiones, dietas, bonos, estímulos, ingresos y sistemas de compensación, señalando la  periodicidad de dicha remuneración, en un formato que permita vincular a cada persona servidora pública con su remuneración;</t>
  </si>
  <si>
    <t>No Aplica</t>
  </si>
  <si>
    <t xml:space="preserve">Una lista con el importe con el concepto de viáticos y gastos de representación que mensualmente las personas servidoras públicas hayan ejecutado por concepto de encargo o comisión, así como el objeto e informe de comisión correspondiente; </t>
  </si>
  <si>
    <t>El número total de las plazas y del personal de base y confianza, especificando el total de las vacantes, por nivel de puesto, para cada unidad administrativa;</t>
  </si>
  <si>
    <t xml:space="preserve">Las contrataciones de servicios profesionales por honorarios, señalando los nombres de los prestadores de servicios, los servicios contratados, el monto de los honorarios y el periodo de contratación; </t>
  </si>
  <si>
    <t>La Versión Pública en los sistemas habilitados para ello, de las Declaraciones Patrimoniales, de Intereses y Fiscal de las personas servidoras públicas y colaboradores de los sujetos obligados, que deban presentarlas de acuerdo a la normatividad aplicable</t>
  </si>
  <si>
    <t xml:space="preserve">El domicilio de la Unidad de Transparencia, además de la dirección electrónica donde podrán recibirse las solicitudes para obtener la información </t>
  </si>
  <si>
    <t xml:space="preserve">Las convocatorias a concursos para ocupar cargos públicos y los resultados de los mismos;  </t>
  </si>
  <si>
    <t>Las condiciones generales de trabajo, contratos o convenios que regulen las relaciones laborales del personal de base o de confianza, así como los recursos públicos económicos, en especie o donativos, que sean entregados a los sindicatos y ejerzan como recursos públicos;</t>
  </si>
  <si>
    <t>La información curricular y perfil de los puestos de las personas servidoras públicas, desde el nivel de jefe de departamento o equivalente, hasta el titular del sujeto obligado, así como, en su caso, las sanciones administrativas de que haya sido objeto;</t>
  </si>
  <si>
    <t>El listado de personas servidoras públicas con sanciones administrativas definitivas, especificando la causa de sanción y la disposición;</t>
  </si>
  <si>
    <t>Los servicios que ofrecen señalando los requisitos para acceder a ellos;</t>
  </si>
  <si>
    <t>Los trámites, requisitos y formatos que ofrecen;</t>
  </si>
  <si>
    <t xml:space="preserve">La información financiera sobre el presupuesto asignado, de los últimos tres ejercicios fiscales, la relativa al presupuesto asignado en lo general y por programas, así como los informes trimestrales sobre su ejecución. Esta información incluirá: a) Los ingresos recibidos por cualquier concepto, incluidos los donativos, señalando el nombre de los responsables de recibirlos, administrarlos y ejercerlos, indicando el destino de cada uno de ellos: b) El presupuesto de egresos y método para su estimación, incluida toda la información relativa a los tratamientos fiscales diferenciados o preferenciales; c) Las bases de cálculo de los ingresos; d) Los informes de cuenta pública; e) Aplicación de fondos auxiliares especiales y el origen de los ingresos;  f) Estados financieros y presupuestales, cuando así proceda, y g) Las cantidades recibidas de manera desglosada por concepto de recursos autogenerados, y en su caso, el uso o aplicación que se les da; </t>
  </si>
  <si>
    <t>Los programas operativos anuales y de trabajo en los que se refleje de forma desglosada la ejecución del presupuesto asignado por rubros y capítulos, para verificar el monto ejercido de forma parcial y total;</t>
  </si>
  <si>
    <t>Metas y objetivos de las unidades administrativas de conformidad con sus programas operativos;</t>
  </si>
  <si>
    <t>La información relativa a la Cuenta y Deuda públicas, en términos de la normatividad aplicable;</t>
  </si>
  <si>
    <t>Los montos destinados a gastos relativos a comunicación social y publicidad oficial desglosada por tipo de medio, proveedores, número de contrato y concepto o campaña;</t>
  </si>
  <si>
    <t xml:space="preserve">Los informes de resultados de las auditorías al ejercicio presupuestal y revisiones. Cada sujeto obligado deberá presentar un informe que contenga lo siguiente: a) Los resultados de todo tipo de auditorías concluidas, hechas al ejercicio presupuestal de cada uno de los sujetos obligados; b) El número y tipo de auditorías realizadas en el ejercicio presupuestario respectivo, así como el órgano que lo realizó; c) Número total de observaciones determinadas en los resultados de auditoria por cada rubro sujeto a revisión y las sanciones o medidas correctivas impuestas; y d) Respecto del seguimiento de los resultados de auditorías, el total de las aclaraciones efectuadas por el sujeto obligado;  </t>
  </si>
  <si>
    <t>Los dictámenes de cuenta pública así como los estados financieros y demás información que los órganos de fiscalización superior utilizan para emitir dichos dictámenes;</t>
  </si>
  <si>
    <t>Los montos, criterios, convocatorias y listado de personas físicas o morales a quienes, por cualquier motivo, se les asigne o permita usar recursos públicos o, en los términos de las disposiciones aplicables, realicen actos de autoridad. Asimismo, los informes que dichas personas les entreguen sobre el uso y destino de dichos recursos;</t>
  </si>
  <si>
    <t>Las concesiones, contratos, convenios, permisos, licencias o autorizaciones otorgados, especificando los titulares de aquéllos, debiendo publicarse su objeto, nombre o razón social del titular, vigencia, tipo, términos, condiciones, monto y modificaciones, así como si el procedimiento involucra el aprovechamiento de bienes, servicios y/o recursos públicos</t>
  </si>
  <si>
    <t xml:space="preserve">La información de los resultados sobre procedimientos de adjudicación directa, invitación restringida y licitación de cualquier naturaleza, incluyendo la Versión Pública del documento respectivo y de los contratos celebrados, </t>
  </si>
  <si>
    <t>Los informes que por disposición legal debe rendir el sujeto obligado, la unidad responsable de los mismos, el fundamento legal que obliga a su generación, así como su calendario de publicación;</t>
  </si>
  <si>
    <t>Las estadísticas que generen en cumplimiento de sus facultades, competencias o funciones con la mayor desagregación posible;</t>
  </si>
  <si>
    <t>Informe de avances programáticos o presupuestales, balances generales y su estado financiero;</t>
  </si>
  <si>
    <t xml:space="preserve">Padrón de proveedores y contratistas;  </t>
  </si>
  <si>
    <t xml:space="preserve">Los convenios de coordinación de concertación con los sectores social y privado; así como los convenios institucionales celebrados por el sujeto obligado, especificando el tipo de convenio, con quién se celebra, objetivo, fecha de celebración y vigencia; </t>
  </si>
  <si>
    <t>El inventario de bienes muebles e inmuebles en posesión y propiedad; así como el moto a que ascienden los mismos, siempre que su valor sea superior a 350 veces la unidad de medida vigente en la Ciudad de México, así como el catálogo o informe de altas y bajas;</t>
  </si>
  <si>
    <t>La relación del número de recomendaciones emitidas al sujeto obligado por la Comisión de Derechos Humanos de la Ciudad de México, las acciones que han llevado a cabo para su atención; y el seguimiento a cada una de ellas, así como el avance e implementación de las líneas de acción del Programa de Derechos Humanos que le corresponda;</t>
  </si>
  <si>
    <t>La relación del número de recomendaciones emitidas por el Instituto al sujeto obligado, y el seguimiento a cada una de ellas;</t>
  </si>
  <si>
    <t>Las resoluciones y laudos que se emitan en procesos o procedimientos seguidos en forma de juicio;</t>
  </si>
  <si>
    <t>Los mecanismos de participación ciudadana;</t>
  </si>
  <si>
    <t>Los programas que ofrecen, incluyendo información sobre la población, objetivo y destino, así como los trámites, tiempos de respuesta, requisitos y formatos para acceder a los mismos</t>
  </si>
  <si>
    <t>La relacionada con los programas y centros destinados a la práctica de actividad física, el ejercicio y el deporte, incluyendo sus direcciones, horarios y modalidades</t>
  </si>
  <si>
    <t>Las actas y resoluciones del Comité de Transparencia de los sujetos obligados;</t>
  </si>
  <si>
    <t>Todas las evaluaciones y encuestas que hagan los sujetos obligados a programas financiados con recursos públicos</t>
  </si>
  <si>
    <t xml:space="preserve">Aplica </t>
  </si>
  <si>
    <t xml:space="preserve">Los estudios financiados con recursos públicos;  </t>
  </si>
  <si>
    <t xml:space="preserve">El listado de jubilados y pensionados y el monto que reciben;  </t>
  </si>
  <si>
    <t xml:space="preserve">Los ingresos recibidos por cualquier concepto señalando el nombre de los responsables de recibirlos, administrarlos y ejercerlos, así como su destino, indicando el destino de cada uno de ellos;  </t>
  </si>
  <si>
    <t xml:space="preserve">Donaciones hechas a terceros en dinero o en especie;  </t>
  </si>
  <si>
    <t xml:space="preserve">El catálogo de disposición y guía de archivo documental;  </t>
  </si>
  <si>
    <t>La calendarización, las minutas y las actas de las reuniones públicas, ordinarias y extraordinarias de los diversos consejos, órganos colegiados, gabinetes, sesiones plenarias, comités, comisiones y sesiones de trabajo que convoquen los sujetos obligados en el ámbito de su competencia, así como las opiniones y recomendaciones que emitan, en su caso los consejos consultivos. Se deberán difundir las minutas o las actas de las reuniones y sesiones, así como la lista de los integrantes de cada uno de los órganos colegiados;</t>
  </si>
  <si>
    <t>Para efectos estadísticos, el listado de solicitudes a las empresas concesionarias de telecomunicaciones y proveedores de servicios o aplicaciones de Internet para la intervención de comunicaciones privadas, el acceso al registro de comunicaciones y la localización geográfica en tiempo real de equipos de comunicación, que contenga exclusivamente el objeto, el alcance temporal y los fundamentos legales del requerimiento, así como, en su caso, la mención de que cuenta con la autorización judicial correspondiente</t>
  </si>
  <si>
    <t>Cualquier otra información que sea de utilidad o se considere relevante, para el conocimiento y evaluación de las funciones y políticas públicas responsabilidad del sujeto obligado además de la que, con base en la información estadística, responda a las preguntas hechas con más frecuencia por el público;</t>
  </si>
  <si>
    <t>La ubicación de todas las obras públicas, señalando: sector al que pertenece, ubicación, monto asignado y ejercicio</t>
  </si>
  <si>
    <t>Los sujetos obligados que otorguen incentivos, condonaciones o reducciones fiscales; concesiones, permisos o licencias por virtud de las cuales se usen, gocen, disfruten o exploten bienes públicos, se ejerzan actos o se desarrolle cualquier actividad de interés público o se opere en auxilio y colaboración de la autoridad, se perciban ingresos de ellas, se reciban o permitan el ejercicio de gasto público, deberán señalar las personas beneficiadas, la temporalidad, los montos y todo aquello relacionado con el acto administrativo, así como lo que para tal efecto le determine el Instituto.</t>
  </si>
  <si>
    <t>Las iniciativas de leyes o decretos y demás disposiciones generales o particulares en materia administrativa</t>
  </si>
  <si>
    <t>El Programa General de Desarrollo de la Ciudad de México vinculado con los programas operativos anuales y los respectivos indicadores de gestión que permitan conocer las metas, por unidad responsable, así como los avances físico y financiero, para cada una de las metas. Sobre los indicadores de gestión se deberá difundir, además, el método de evaluación con una justificación de los resultados obtenidos y el monto de los recursos públicos asignados para su cumplimiento;</t>
  </si>
  <si>
    <t>El presupuesto de egresos y las fórmulas de distribución de los recursos otorgados, desglosando su origen y destino, precisando las cantidades correspondientes a su origen, ya sea federal o local, y señalando en su caso, la cantidad que se destinará a programas de apoyo y desarrollo de los Órganos Políticos Administrativos, Alcaldías o Demarcaciones Territoriales;</t>
  </si>
  <si>
    <t>El listado de expropiaciones decretadas y ejecutadas que incluya, cuando menos, la fecha de expropiación, el domicilio y la causa de utilidad pública y las ocupaciones superficiales</t>
  </si>
  <si>
    <t>Los listados de las personas que incluyan nombre, denominación o razón social y clave del registro federal de los contribuyentes, que han recibido exenciones, condonaciones o cancelaciones de impuestos locales o regímenes especiales en materia tributaria local, así como los montos respectivos cuidando no revelar información confidencial, salvo que los mismos se encuentren relacionados al cumplimiento de los requisitos establecidos para la obtención de los mismos. Asimismo, la información estadística sobre las exenciones previstas en las disposiciones fiscales</t>
  </si>
  <si>
    <t>El listado de patentes de corredores y notarios públicos otorgadas, en términos de la Ley respectiva; así como sus datos de contacto, la información relacionada con el proceso de otorgamiento de la patente y las sanciones que se les hubieran aplicado</t>
  </si>
  <si>
    <t>La información detallada que contengan los planes de desarrollo urbano, ordenamiento territorial y ecológico, los tipos y usos de suelo, licencias de uso y construcción otorgadas por el Gobierno de la Ciudad de México que permitan que el usuario conozca de manera rápida y sencilla el tipo de uso de suelo con que cuenta cada predio, a través de mapas y planos georreferenciados;</t>
  </si>
  <si>
    <t>Las disposiciones administrativas, directamente o a través de la autoridad competente, con el plazo de anticipación que prevea la legislación aplicable al sujeto obligado de que se trate, salvo que su difusión pueda comprometer los efectos que se pretenden lograr o se trate de situaciones de emergencia, de conformidad con dichas disposiciones;</t>
  </si>
  <si>
    <t>Estadísticas e índices delictivos, así como los indicadores de la procuración de justicia;</t>
  </si>
  <si>
    <t>En materia de investigación de los delitos, estadísticas sobre el número de averiguaciones previas o carpetas de investigación: a) En su caso las que fueron desestimadas; b) En cuántas se ejerció acción penal; c) En cuántas se propuso el no ejercicio de la acción penal; d) En cuántas se aplicaron los criterios de oportunidad; e) En cuántas se propuso la reserva o el archivo temporal; y f) Además de las órdenes de aprehensión, de comparecencia, presentación y cateo;</t>
  </si>
  <si>
    <t>Las cantidades recibidas por concepto de multas y servicios de grúa y almacenamiento de vehículos, en su caso, así como el destino al que se aplicaron;</t>
  </si>
  <si>
    <t>Los reglamentos de las leyes expedidos en ejercicio de sus atribuciones;</t>
  </si>
  <si>
    <t>Los convenios de coordinación con la Federación, Entidades Federativas y Municipios, y de concertación con los sectores social y privado, señalando el objeto, las partes y tiempo de duración</t>
  </si>
  <si>
    <t>La información que sea de utilidad o resulte relevante para el conocimiento y evaluación de las funciones y políticas públicas</t>
  </si>
  <si>
    <t>Sistema electrónico con el uso de un tabulador que permita consultar el cobro de impuestos, servicios, derechos y aprovechamientos, así como el total de las cantidades recibidas por estos conceptos, así como informes de avance trimestral de dichos ingresos</t>
  </si>
  <si>
    <t>Relación de constancias, certificados, permisos, licencias, autorizaciones, certificaciones de uso de suelo, registro de manifestaciones y dictámenes de las obras que se llevan a cabo en cada una de las demarcaciones territoriales, que permita conocer el estado, situación jurídica y modificaciones de cualquier índole de cada predio, para la ejecución de obras de construcción, ampliación o demolición de edificaciones o instalaciones o realizar obras de construcción, reparación, y mejoramiento de instalaciones subterráneas;</t>
  </si>
  <si>
    <t>Los recursos remanentes de los ejercicios fiscales anteriores, así como su aplicación específica;</t>
  </si>
  <si>
    <t>Los usos de suelo a través de mapas y planos georreferenciados que permitan que el usuario conozca de manera rápida y sencilla el tipo de uso de suelo con que cuenta cada predio;</t>
  </si>
  <si>
    <t>La georreferenciación e imagen de todas las obras públicas, señalando: sector al que pertenece, ubicación, monto asignado y ejercido;</t>
  </si>
  <si>
    <t>Un listado de las oficinas del Registro Civil en la Ciudad de México, incluyendo su ubicación, el currículum y antigüedad en el cargo de los oficiales o titulares y las estadísticas de los trámites que realice</t>
  </si>
  <si>
    <t>Un listado de los títulos y las empresas concesionarias que participan en la gestión del agua;</t>
  </si>
  <si>
    <t>Los mecanismos e informes de supervisión del desempeño de las empresas concesionarias que participan en la gestión del agua;</t>
  </si>
  <si>
    <t>Información sobre las tarifas del suministro de agua potable según los diferentes usos doméstico, no doméstico y mixto por Colonia y Delegación; el método de cálculo, y la evolución de las mismas;</t>
  </si>
  <si>
    <t>Información trimestral sobre la calidad del agua de la ciudad;</t>
  </si>
  <si>
    <t>Las manifestaciones de impacto ambiental; y</t>
  </si>
  <si>
    <t>Los resultados de estudios de calidad del aire.</t>
  </si>
  <si>
    <t>Los sujetos obligados contarán en la página de inicio de sus portales de Internet con una señalización fácilmente identificable y accesible que cumpla con los requerimientos de sistematización, comprensión y organización de la información a que se refiere este capítulo.
El Instituto establecerá criterios que permitan homologar la presentación de la información en los portales de Internet en los que se establecerá plazos, términos, así como los formatos que habrán de utilizarse para la publicidad de la información; asimismo; promoverá la creación de medios electrónicos para incorporar, localizar y facilitar el acceso a la información pública de oficio.</t>
  </si>
  <si>
    <t>Con el objeto de verificar que la información pública que recibe cualquier persona es la versión más actualizada, el sujeto obligado deberá difundir, dentro del primer mes de cada año, un calendario de actualización, por cada contenido de información y el área responsable. En caso de que no exista una norma que ya instruya la actualización de algún contenido, éste deberá actualizarse al menos cada tres meses. En todos los casos se deberá indicar la última actualización por cada rubro. El Instituto realizará, de forma trimestral revisiones a los portales de transparencia de los sujetos obligados a fin de verificar el cumplimiento de las obligaciones contenidas en este Título.</t>
  </si>
  <si>
    <t>Unidad de Transparencia</t>
  </si>
  <si>
    <t>Dirección de Atención Jurídica</t>
  </si>
  <si>
    <t>Dirección General de Atención a Personas Damnificadas</t>
  </si>
  <si>
    <t>fr00</t>
  </si>
  <si>
    <t>Dirección General Operativa y Dirección General de Atención a Personas Damnificadas</t>
  </si>
  <si>
    <t>No aplica</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</si>
</sst>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
    <numFmt numFmtId="165" formatCode="d"/>
  </numFmts>
  <fonts count="23"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sz val="11"/>
      <color theme="0"/>
      <name val="Calibri"/>
      <family val="2"/>
      <scheme val="minor"/>
    </font>
    <font>
      <sz val="8"/>
      <color theme="1"/>
      <name val="Calibri"/>
      <family val="2"/>
      <scheme val="minor"/>
    </font>
    <font>
      <b/>
      <sz val="26"/>
      <color theme="0"/>
      <name val="Calibri Light"/>
      <family val="2"/>
      <scheme val="major"/>
    </font>
    <font>
      <b/>
      <sz val="20"/>
      <color theme="0"/>
      <name val="Calibri Light"/>
      <family val="2"/>
      <scheme val="major"/>
    </font>
    <font>
      <sz val="8"/>
      <color theme="0"/>
      <name val="Calibri"/>
      <family val="2"/>
      <scheme val="minor"/>
    </font>
    <font>
      <b/>
      <sz val="19"/>
      <color theme="0"/>
      <name val="Calibri"/>
      <family val="2"/>
      <scheme val="minor"/>
    </font>
    <font>
      <i/>
      <sz val="10"/>
      <color theme="8" tint="-0.499984740745262"/>
      <name val="Calibri"/>
      <family val="2"/>
      <scheme val="minor"/>
    </font>
    <font>
      <b/>
      <sz val="11"/>
      <color theme="0"/>
      <name val="Calibri Light"/>
      <family val="2"/>
      <scheme val="major"/>
    </font>
    <font>
      <b/>
      <sz val="11"/>
      <color theme="1"/>
      <name val="Calibri Light"/>
      <family val="2"/>
      <scheme val="major"/>
    </font>
    <font>
      <sz val="11"/>
      <color theme="8" tint="-0.499984740745262"/>
      <name val="Calibri"/>
      <family val="2"/>
      <scheme val="minor"/>
    </font>
    <font>
      <b/>
      <sz val="11"/>
      <color theme="1" tint="0.34998626667073579"/>
      <name val="Calibri"/>
      <family val="2"/>
      <scheme val="minor"/>
    </font>
    <font>
      <sz val="11"/>
      <color theme="1" tint="0.14999847407452621"/>
      <name val="Calibri"/>
      <family val="2"/>
      <scheme val="minor"/>
    </font>
    <font>
      <sz val="15"/>
      <color rgb="FF691C32"/>
      <name val="Calibri"/>
      <family val="2"/>
      <scheme val="minor"/>
    </font>
    <font>
      <sz val="16"/>
      <color rgb="FF691C32"/>
      <name val="Calibri"/>
      <family val="2"/>
      <scheme val="minor"/>
    </font>
    <font>
      <sz val="9"/>
      <color theme="1" tint="0.14999847407452621"/>
      <name val="Calibri"/>
      <family val="2"/>
      <scheme val="minor"/>
    </font>
    <font>
      <sz val="9"/>
      <color theme="8" tint="-0.499984740745262"/>
      <name val="Calibri"/>
      <family val="2"/>
      <scheme val="minor"/>
    </font>
    <font>
      <sz val="9"/>
      <color theme="8"/>
      <name val="Calibri"/>
      <family val="2"/>
      <scheme val="minor"/>
    </font>
    <font>
      <b/>
      <sz val="12"/>
      <color rgb="FF691C32"/>
      <name val="Calibri"/>
      <family val="2"/>
      <scheme val="minor"/>
    </font>
  </fonts>
  <fills count="11">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10312B"/>
        <bgColor indexed="64"/>
      </patternFill>
    </fill>
    <fill>
      <patternFill patternType="solid">
        <fgColor rgb="FF691C32"/>
        <bgColor indexed="64"/>
      </patternFill>
    </fill>
    <fill>
      <patternFill patternType="solid">
        <fgColor rgb="FFFFFF00"/>
        <bgColor indexed="64"/>
      </patternFill>
    </fill>
    <fill>
      <patternFill patternType="solid">
        <fgColor rgb="FF92D050"/>
        <bgColor indexed="64"/>
      </patternFill>
    </fill>
    <fill>
      <patternFill patternType="solid">
        <fgColor rgb="FFBC8F00"/>
        <bgColor indexed="64"/>
      </patternFill>
    </fill>
    <fill>
      <patternFill patternType="solid">
        <fgColor theme="0"/>
        <bgColor indexed="64"/>
      </patternFill>
    </fill>
  </fills>
  <borders count="37">
    <border>
      <left/>
      <right/>
      <top/>
      <bottom/>
      <diagonal/>
    </border>
    <border>
      <left style="thin">
        <color auto="1"/>
      </left>
      <right style="thin">
        <color auto="1"/>
      </right>
      <top style="thin">
        <color auto="1"/>
      </top>
      <bottom style="thin">
        <color auto="1"/>
      </bottom>
      <diagonal/>
    </border>
    <border>
      <left style="thin">
        <color rgb="FF10312B"/>
      </left>
      <right/>
      <top style="thin">
        <color rgb="FF10312B"/>
      </top>
      <bottom/>
      <diagonal/>
    </border>
    <border>
      <left/>
      <right/>
      <top style="thin">
        <color rgb="FF10312B"/>
      </top>
      <bottom/>
      <diagonal/>
    </border>
    <border>
      <left/>
      <right style="thin">
        <color rgb="FF10312B"/>
      </right>
      <top style="thin">
        <color rgb="FF10312B"/>
      </top>
      <bottom/>
      <diagonal/>
    </border>
    <border>
      <left style="thin">
        <color rgb="FF10312B"/>
      </left>
      <right/>
      <top/>
      <bottom/>
      <diagonal/>
    </border>
    <border>
      <left/>
      <right style="thin">
        <color rgb="FF10312B"/>
      </right>
      <top/>
      <bottom/>
      <diagonal/>
    </border>
    <border>
      <left style="medium">
        <color rgb="FF691C32"/>
      </left>
      <right/>
      <top style="medium">
        <color rgb="FF691C32"/>
      </top>
      <bottom/>
      <diagonal/>
    </border>
    <border>
      <left/>
      <right/>
      <top style="medium">
        <color rgb="FF691C32"/>
      </top>
      <bottom/>
      <diagonal/>
    </border>
    <border>
      <left/>
      <right style="medium">
        <color rgb="FF691C32"/>
      </right>
      <top style="medium">
        <color rgb="FF691C32"/>
      </top>
      <bottom/>
      <diagonal/>
    </border>
    <border>
      <left style="medium">
        <color rgb="FF691C32"/>
      </left>
      <right/>
      <top/>
      <bottom/>
      <diagonal/>
    </border>
    <border>
      <left/>
      <right style="medium">
        <color rgb="FF691C32"/>
      </right>
      <top/>
      <bottom/>
      <diagonal/>
    </border>
    <border>
      <left/>
      <right/>
      <top/>
      <bottom style="thin">
        <color rgb="FF691C32"/>
      </bottom>
      <diagonal/>
    </border>
    <border>
      <left/>
      <right style="thin">
        <color rgb="FF10312B"/>
      </right>
      <top/>
      <bottom style="thin">
        <color rgb="FF691C32"/>
      </bottom>
      <diagonal/>
    </border>
    <border>
      <left style="medium">
        <color rgb="FF691C32"/>
      </left>
      <right/>
      <top/>
      <bottom style="medium">
        <color rgb="FF691C32"/>
      </bottom>
      <diagonal/>
    </border>
    <border>
      <left/>
      <right/>
      <top/>
      <bottom style="medium">
        <color rgb="FF691C32"/>
      </bottom>
      <diagonal/>
    </border>
    <border>
      <left/>
      <right style="medium">
        <color rgb="FF691C32"/>
      </right>
      <top/>
      <bottom style="medium">
        <color rgb="FF691C32"/>
      </bottom>
      <diagonal/>
    </border>
    <border>
      <left style="thin">
        <color rgb="FF10312B"/>
      </left>
      <right style="thin">
        <color indexed="64"/>
      </right>
      <top style="thin">
        <color rgb="FF10312B"/>
      </top>
      <bottom style="thin">
        <color indexed="64"/>
      </bottom>
      <diagonal/>
    </border>
    <border>
      <left style="thin">
        <color indexed="64"/>
      </left>
      <right style="thin">
        <color indexed="64"/>
      </right>
      <top style="thin">
        <color rgb="FF10312B"/>
      </top>
      <bottom style="thin">
        <color indexed="64"/>
      </bottom>
      <diagonal/>
    </border>
    <border>
      <left style="thin">
        <color indexed="64"/>
      </left>
      <right style="thin">
        <color rgb="FF10312B"/>
      </right>
      <top style="thin">
        <color rgb="FF10312B"/>
      </top>
      <bottom/>
      <diagonal/>
    </border>
    <border>
      <left style="thin">
        <color rgb="FF10312B"/>
      </left>
      <right style="thin">
        <color indexed="64"/>
      </right>
      <top style="thin">
        <color indexed="64"/>
      </top>
      <bottom/>
      <diagonal/>
    </border>
    <border>
      <left style="thin">
        <color indexed="64"/>
      </left>
      <right/>
      <top style="thin">
        <color indexed="64"/>
      </top>
      <bottom/>
      <diagonal/>
    </border>
    <border>
      <left style="thin">
        <color rgb="FF10312B"/>
      </left>
      <right style="thin">
        <color indexed="64"/>
      </right>
      <top/>
      <bottom/>
      <diagonal/>
    </border>
    <border>
      <left style="thin">
        <color indexed="64"/>
      </left>
      <right/>
      <top/>
      <bottom/>
      <diagonal/>
    </border>
    <border>
      <left style="thin">
        <color indexed="64"/>
      </left>
      <right/>
      <top/>
      <bottom style="thin">
        <color indexed="64"/>
      </bottom>
      <diagonal/>
    </border>
    <border>
      <left/>
      <right style="thin">
        <color rgb="FF10312B"/>
      </right>
      <top/>
      <bottom style="thin">
        <color rgb="FF10312B"/>
      </bottom>
      <diagonal/>
    </border>
    <border>
      <left style="thin">
        <color rgb="FF10312B"/>
      </left>
      <right style="thin">
        <color indexed="64"/>
      </right>
      <top/>
      <bottom style="thin">
        <color rgb="FF10312B"/>
      </bottom>
      <diagonal/>
    </border>
    <border>
      <left style="thin">
        <color indexed="64"/>
      </left>
      <right/>
      <top/>
      <bottom style="thin">
        <color rgb="FF10312B"/>
      </bottom>
      <diagonal/>
    </border>
    <border>
      <left style="thin">
        <color indexed="64"/>
      </left>
      <right style="thin">
        <color indexed="64"/>
      </right>
      <top style="thin">
        <color rgb="FF10312B"/>
      </top>
      <bottom/>
      <diagonal/>
    </border>
    <border>
      <left style="thin">
        <color rgb="FF10312B"/>
      </left>
      <right/>
      <top style="thin">
        <color indexed="64"/>
      </top>
      <bottom/>
      <diagonal/>
    </border>
    <border>
      <left style="thin">
        <color rgb="FF10312B"/>
      </left>
      <right style="thin">
        <color rgb="FF10312B"/>
      </right>
      <top style="thin">
        <color rgb="FF10312B"/>
      </top>
      <bottom/>
      <diagonal/>
    </border>
    <border>
      <left style="thin">
        <color rgb="FF10312B"/>
      </left>
      <right style="thin">
        <color rgb="FF10312B"/>
      </right>
      <top/>
      <bottom style="thin">
        <color rgb="FF10312B"/>
      </bottom>
      <diagonal/>
    </border>
    <border>
      <left style="thin">
        <color rgb="FF10312B"/>
      </left>
      <right style="thin">
        <color rgb="FF10312B"/>
      </right>
      <top/>
      <bottom/>
      <diagonal/>
    </border>
    <border>
      <left style="thin">
        <color rgb="FF10312B"/>
      </left>
      <right/>
      <top/>
      <bottom style="thin">
        <color rgb="FF10312B"/>
      </bottom>
      <diagonal/>
    </border>
    <border>
      <left style="medium">
        <color rgb="FF691C32"/>
      </left>
      <right/>
      <top/>
      <bottom style="thin">
        <color rgb="FF10312B"/>
      </bottom>
      <diagonal/>
    </border>
    <border>
      <left/>
      <right/>
      <top/>
      <bottom style="thin">
        <color rgb="FF10312B"/>
      </bottom>
      <diagonal/>
    </border>
    <border>
      <left/>
      <right style="medium">
        <color rgb="FF691C32"/>
      </right>
      <top/>
      <bottom style="thin">
        <color rgb="FF10312B"/>
      </bottom>
      <diagonal/>
    </border>
  </borders>
  <cellStyleXfs count="34">
    <xf numFmtId="0" fontId="0" fillId="0" borderId="0"/>
    <xf numFmtId="0" fontId="4" fillId="3" borderId="0"/>
    <xf numFmtId="0" fontId="6"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cellStyleXfs>
  <cellXfs count="119">
    <xf numFmtId="0" fontId="0" fillId="0" borderId="0" xfId="0"/>
    <xf numFmtId="164" fontId="6" fillId="3" borderId="0" xfId="2" applyNumberFormat="1" applyAlignment="1">
      <alignment wrapText="1"/>
    </xf>
    <xf numFmtId="0" fontId="6" fillId="5" borderId="2" xfId="2" applyFill="1" applyBorder="1"/>
    <xf numFmtId="0" fontId="9" fillId="5" borderId="3" xfId="2" applyFont="1" applyFill="1" applyBorder="1"/>
    <xf numFmtId="0" fontId="6" fillId="5" borderId="3" xfId="2" applyFill="1" applyBorder="1"/>
    <xf numFmtId="0" fontId="6" fillId="3" borderId="0" xfId="2"/>
    <xf numFmtId="164" fontId="1" fillId="3" borderId="0" xfId="2" applyNumberFormat="1" applyFont="1" applyAlignment="1">
      <alignment vertical="center"/>
    </xf>
    <xf numFmtId="0" fontId="11" fillId="3" borderId="5" xfId="2" applyFont="1" applyBorder="1" applyAlignment="1">
      <alignment horizontal="left" vertical="center" indent="2"/>
    </xf>
    <xf numFmtId="0" fontId="1" fillId="3" borderId="6" xfId="2" applyFont="1" applyBorder="1"/>
    <xf numFmtId="164" fontId="6" fillId="3" borderId="0" xfId="2" applyNumberFormat="1"/>
    <xf numFmtId="0" fontId="6" fillId="3" borderId="5" xfId="2" applyBorder="1"/>
    <xf numFmtId="0" fontId="1" fillId="3" borderId="6" xfId="2" applyFont="1" applyBorder="1" applyAlignment="1">
      <alignment horizontal="center"/>
    </xf>
    <xf numFmtId="0" fontId="15" fillId="3" borderId="10" xfId="2" applyFont="1" applyBorder="1" applyAlignment="1">
      <alignment horizontal="center"/>
    </xf>
    <xf numFmtId="0" fontId="15" fillId="3" borderId="11" xfId="2" applyFont="1" applyBorder="1" applyAlignment="1">
      <alignment horizontal="center"/>
    </xf>
    <xf numFmtId="165" fontId="1" fillId="3" borderId="10" xfId="2" applyNumberFormat="1" applyFont="1" applyBorder="1" applyAlignment="1">
      <alignment horizontal="center"/>
    </xf>
    <xf numFmtId="165" fontId="1" fillId="3" borderId="11" xfId="2" applyNumberFormat="1" applyFont="1" applyBorder="1" applyAlignment="1">
      <alignment horizontal="center"/>
    </xf>
    <xf numFmtId="165" fontId="1" fillId="8" borderId="10" xfId="2" applyNumberFormat="1" applyFont="1" applyFill="1" applyBorder="1" applyAlignment="1">
      <alignment horizontal="center"/>
    </xf>
    <xf numFmtId="0" fontId="6" fillId="3" borderId="6" xfId="2" applyBorder="1"/>
    <xf numFmtId="165" fontId="1" fillId="3" borderId="14" xfId="2" applyNumberFormat="1" applyFont="1" applyBorder="1" applyAlignment="1">
      <alignment horizontal="center"/>
    </xf>
    <xf numFmtId="165" fontId="1" fillId="3" borderId="15" xfId="2" applyNumberFormat="1" applyFont="1" applyBorder="1" applyAlignment="1">
      <alignment horizontal="center"/>
    </xf>
    <xf numFmtId="165" fontId="1" fillId="3" borderId="16" xfId="2" applyNumberFormat="1" applyFont="1" applyBorder="1" applyAlignment="1">
      <alignment horizontal="center"/>
    </xf>
    <xf numFmtId="165" fontId="6" fillId="3" borderId="0" xfId="2" applyNumberFormat="1"/>
    <xf numFmtId="0" fontId="5" fillId="6" borderId="17" xfId="2" applyFont="1" applyFill="1" applyBorder="1" applyAlignment="1">
      <alignment horizontal="center" vertical="center" wrapText="1"/>
    </xf>
    <xf numFmtId="0" fontId="5" fillId="6" borderId="18" xfId="2" applyFont="1" applyFill="1" applyBorder="1" applyAlignment="1">
      <alignment horizontal="center" vertical="center"/>
    </xf>
    <xf numFmtId="0" fontId="5" fillId="6" borderId="19" xfId="2" applyFont="1" applyFill="1" applyBorder="1" applyAlignment="1">
      <alignment horizontal="center"/>
    </xf>
    <xf numFmtId="0" fontId="5" fillId="6" borderId="28" xfId="2" applyFont="1" applyFill="1" applyBorder="1" applyAlignment="1">
      <alignment horizontal="center" vertical="center"/>
    </xf>
    <xf numFmtId="0" fontId="1" fillId="3" borderId="4" xfId="2" applyFont="1" applyBorder="1" applyAlignment="1">
      <alignment vertical="center"/>
    </xf>
    <xf numFmtId="0" fontId="1" fillId="3" borderId="6" xfId="2" applyFont="1" applyBorder="1" applyAlignment="1">
      <alignment vertical="center"/>
    </xf>
    <xf numFmtId="0" fontId="1" fillId="3" borderId="25" xfId="2" applyFont="1" applyBorder="1" applyAlignment="1">
      <alignment vertical="center"/>
    </xf>
    <xf numFmtId="0" fontId="6" fillId="3" borderId="6" xfId="2" applyBorder="1" applyAlignment="1">
      <alignment horizontal="center"/>
    </xf>
    <xf numFmtId="0" fontId="6" fillId="3" borderId="33" xfId="2" applyBorder="1"/>
    <xf numFmtId="165" fontId="1" fillId="3" borderId="34" xfId="2" applyNumberFormat="1" applyFont="1" applyBorder="1" applyAlignment="1">
      <alignment horizontal="center"/>
    </xf>
    <xf numFmtId="165" fontId="1" fillId="3" borderId="35" xfId="2" applyNumberFormat="1" applyFont="1" applyBorder="1" applyAlignment="1">
      <alignment horizontal="center"/>
    </xf>
    <xf numFmtId="165" fontId="1" fillId="3" borderId="36" xfId="2" applyNumberFormat="1" applyFont="1" applyBorder="1" applyAlignment="1">
      <alignment horizontal="center"/>
    </xf>
    <xf numFmtId="0" fontId="1" fillId="3" borderId="35" xfId="2" applyFont="1" applyBorder="1"/>
    <xf numFmtId="0" fontId="6" fillId="3" borderId="35" xfId="2" applyBorder="1"/>
    <xf numFmtId="0" fontId="6" fillId="5" borderId="35" xfId="2" applyFill="1" applyBorder="1"/>
    <xf numFmtId="49" fontId="6" fillId="3" borderId="0" xfId="2" applyNumberFormat="1"/>
    <xf numFmtId="0" fontId="11" fillId="3" borderId="0" xfId="2" applyFont="1" applyAlignment="1">
      <alignment horizontal="left" vertical="center" indent="2"/>
    </xf>
    <xf numFmtId="0" fontId="6" fillId="5" borderId="0" xfId="2" applyFill="1"/>
    <xf numFmtId="0" fontId="1" fillId="3" borderId="0" xfId="2" applyFont="1"/>
    <xf numFmtId="0" fontId="13" fillId="3" borderId="0" xfId="2" applyFont="1"/>
    <xf numFmtId="49" fontId="14" fillId="3" borderId="0" xfId="2" applyNumberFormat="1" applyFont="1" applyAlignment="1">
      <alignment horizontal="left"/>
    </xf>
    <xf numFmtId="0" fontId="15" fillId="3" borderId="0" xfId="2" applyFont="1" applyAlignment="1">
      <alignment horizontal="center"/>
    </xf>
    <xf numFmtId="0" fontId="1" fillId="3" borderId="0" xfId="2" applyFont="1" applyAlignment="1">
      <alignment horizontal="center"/>
    </xf>
    <xf numFmtId="49" fontId="16" fillId="3" borderId="0" xfId="2" applyNumberFormat="1" applyFont="1" applyAlignment="1">
      <alignment horizontal="left"/>
    </xf>
    <xf numFmtId="165" fontId="1" fillId="3" borderId="0" xfId="2" applyNumberFormat="1" applyFont="1" applyAlignment="1">
      <alignment horizontal="center"/>
    </xf>
    <xf numFmtId="165" fontId="1" fillId="7" borderId="0" xfId="2" applyNumberFormat="1" applyFont="1" applyFill="1" applyAlignment="1">
      <alignment horizontal="center"/>
    </xf>
    <xf numFmtId="49" fontId="1" fillId="3" borderId="0" xfId="2" applyNumberFormat="1" applyFont="1" applyAlignment="1">
      <alignment horizontal="left"/>
    </xf>
    <xf numFmtId="165" fontId="5" fillId="9" borderId="0" xfId="2" applyNumberFormat="1" applyFont="1" applyFill="1" applyAlignment="1">
      <alignment horizontal="center"/>
    </xf>
    <xf numFmtId="0" fontId="1" fillId="7" borderId="0" xfId="2" applyFont="1" applyFill="1"/>
    <xf numFmtId="0" fontId="1" fillId="9" borderId="0" xfId="2" applyFont="1" applyFill="1"/>
    <xf numFmtId="165" fontId="1" fillId="3" borderId="0" xfId="2" applyNumberFormat="1" applyFont="1"/>
    <xf numFmtId="165" fontId="6" fillId="5" borderId="0" xfId="2" applyNumberFormat="1" applyFill="1"/>
    <xf numFmtId="0" fontId="1" fillId="8" borderId="0" xfId="2" applyFont="1" applyFill="1"/>
    <xf numFmtId="165" fontId="5" fillId="3" borderId="0" xfId="2" applyNumberFormat="1" applyFont="1" applyAlignment="1">
      <alignment horizontal="center"/>
    </xf>
    <xf numFmtId="0" fontId="1" fillId="3" borderId="0" xfId="2" applyFont="1" applyAlignment="1">
      <alignment vertical="center"/>
    </xf>
    <xf numFmtId="49" fontId="19" fillId="3" borderId="0" xfId="2" applyNumberFormat="1" applyFont="1" applyAlignment="1">
      <alignment horizontal="left"/>
    </xf>
    <xf numFmtId="49" fontId="6" fillId="3" borderId="0" xfId="2" applyNumberFormat="1" applyAlignment="1">
      <alignment horizontal="left"/>
    </xf>
    <xf numFmtId="49" fontId="20" fillId="3" borderId="0" xfId="2" applyNumberFormat="1" applyFont="1"/>
    <xf numFmtId="49" fontId="21" fillId="3" borderId="0" xfId="2" applyNumberFormat="1" applyFont="1"/>
    <xf numFmtId="164" fontId="6" fillId="3" borderId="0" xfId="2" applyNumberFormat="1" applyAlignment="1">
      <alignment horizontal="center"/>
    </xf>
    <xf numFmtId="0" fontId="0" fillId="3" borderId="0" xfId="29" applyFont="1" applyAlignment="1"/>
    <xf numFmtId="17" fontId="0" fillId="0" borderId="0" xfId="0" applyNumberFormat="1" applyAlignment="1">
      <alignment horizontal="right"/>
    </xf>
    <xf numFmtId="0" fontId="3" fillId="10" borderId="0" xfId="30" applyFont="1" applyFill="1" applyBorder="1" applyAlignment="1">
      <alignment horizontal="center"/>
    </xf>
    <xf numFmtId="0" fontId="4" fillId="10" borderId="0" xfId="30" applyFill="1" applyAlignment="1"/>
    <xf numFmtId="0" fontId="0" fillId="0" borderId="0" xfId="0" applyAlignment="1"/>
    <xf numFmtId="0" fontId="3" fillId="4" borderId="1" xfId="0" applyFont="1" applyFill="1" applyBorder="1" applyAlignment="1">
      <alignment horizontal="center"/>
    </xf>
    <xf numFmtId="3" fontId="3" fillId="10" borderId="0" xfId="30" applyNumberFormat="1" applyFont="1" applyFill="1" applyBorder="1" applyAlignment="1">
      <alignment horizontal="right"/>
    </xf>
    <xf numFmtId="14" fontId="0" fillId="0" borderId="0" xfId="0" applyNumberFormat="1" applyAlignment="1"/>
    <xf numFmtId="0" fontId="4" fillId="3" borderId="0" xfId="27" applyAlignment="1"/>
    <xf numFmtId="0" fontId="4" fillId="3" borderId="0" xfId="28" applyAlignment="1"/>
    <xf numFmtId="0" fontId="4" fillId="10" borderId="0" xfId="31" applyFill="1"/>
    <xf numFmtId="0" fontId="3" fillId="10" borderId="0" xfId="31" applyFont="1" applyFill="1" applyBorder="1" applyAlignment="1">
      <alignment horizontal="center" wrapText="1"/>
    </xf>
    <xf numFmtId="0" fontId="4" fillId="10" borderId="0" xfId="31" applyFill="1" applyAlignment="1"/>
    <xf numFmtId="0" fontId="4" fillId="10" borderId="0" xfId="32" applyFill="1"/>
    <xf numFmtId="14" fontId="3" fillId="10" borderId="0" xfId="32" applyNumberFormat="1" applyFont="1" applyFill="1" applyBorder="1" applyAlignment="1">
      <alignment horizontal="center" wrapText="1"/>
    </xf>
    <xf numFmtId="0" fontId="4" fillId="10" borderId="0" xfId="33" applyFill="1"/>
    <xf numFmtId="0" fontId="3" fillId="10" borderId="0" xfId="30" applyFont="1" applyFill="1" applyBorder="1" applyAlignment="1">
      <alignment horizontal="left"/>
    </xf>
    <xf numFmtId="0" fontId="0" fillId="10" borderId="0" xfId="33" applyFont="1" applyFill="1"/>
    <xf numFmtId="0" fontId="2" fillId="2" borderId="1" xfId="0" applyFont="1" applyFill="1" applyBorder="1" applyAlignment="1">
      <alignment horizontal="center"/>
    </xf>
    <xf numFmtId="0" fontId="0" fillId="0" borderId="0" xfId="0" applyAlignment="1"/>
    <xf numFmtId="0" fontId="3" fillId="4" borderId="1" xfId="0" applyFont="1" applyFill="1" applyBorder="1" applyAlignment="1"/>
    <xf numFmtId="0" fontId="12" fillId="6" borderId="7" xfId="2" applyFont="1" applyFill="1" applyBorder="1" applyAlignment="1">
      <alignment horizontal="left"/>
    </xf>
    <xf numFmtId="0" fontId="12" fillId="6" borderId="8" xfId="2" applyFont="1" applyFill="1" applyBorder="1" applyAlignment="1">
      <alignment horizontal="left"/>
    </xf>
    <xf numFmtId="0" fontId="12" fillId="6" borderId="9" xfId="2" applyFont="1" applyFill="1" applyBorder="1" applyAlignment="1">
      <alignment horizontal="left"/>
    </xf>
    <xf numFmtId="0" fontId="22" fillId="3" borderId="35" xfId="2" applyFont="1" applyBorder="1" applyAlignment="1">
      <alignment horizontal="left"/>
    </xf>
    <xf numFmtId="0" fontId="22" fillId="3" borderId="25" xfId="2" applyFont="1" applyBorder="1" applyAlignment="1">
      <alignment horizontal="left"/>
    </xf>
    <xf numFmtId="0" fontId="5" fillId="9" borderId="29" xfId="2" applyFont="1" applyFill="1" applyBorder="1" applyAlignment="1">
      <alignment horizontal="center" vertical="center"/>
    </xf>
    <xf numFmtId="0" fontId="5" fillId="9" borderId="5" xfId="2" applyFont="1" applyFill="1" applyBorder="1" applyAlignment="1">
      <alignment horizontal="center" vertical="center"/>
    </xf>
    <xf numFmtId="0" fontId="5" fillId="9" borderId="33" xfId="2" applyFont="1" applyFill="1" applyBorder="1" applyAlignment="1">
      <alignment horizontal="center" vertical="center"/>
    </xf>
    <xf numFmtId="0" fontId="1" fillId="3" borderId="30" xfId="2" applyFont="1" applyBorder="1" applyAlignment="1">
      <alignment horizontal="left" vertical="center"/>
    </xf>
    <xf numFmtId="0" fontId="1" fillId="3" borderId="31" xfId="2" applyFont="1" applyBorder="1" applyAlignment="1">
      <alignment horizontal="left" vertical="center"/>
    </xf>
    <xf numFmtId="0" fontId="1" fillId="3" borderId="4" xfId="2" applyFont="1" applyBorder="1" applyAlignment="1">
      <alignment horizontal="left" vertical="center"/>
    </xf>
    <xf numFmtId="0" fontId="1" fillId="3" borderId="25" xfId="2" applyFont="1" applyBorder="1" applyAlignment="1">
      <alignment horizontal="left" vertical="center"/>
    </xf>
    <xf numFmtId="0" fontId="1" fillId="3" borderId="32" xfId="2" applyFont="1" applyBorder="1" applyAlignment="1">
      <alignment horizontal="left" vertical="center"/>
    </xf>
    <xf numFmtId="0" fontId="1" fillId="3" borderId="6" xfId="2" applyFont="1" applyBorder="1" applyAlignment="1">
      <alignment horizontal="left" vertical="center" wrapText="1"/>
    </xf>
    <xf numFmtId="0" fontId="1" fillId="7" borderId="20" xfId="2" applyFont="1" applyFill="1" applyBorder="1" applyAlignment="1">
      <alignment horizontal="center" vertical="center"/>
    </xf>
    <xf numFmtId="0" fontId="1" fillId="7" borderId="22" xfId="2" applyFont="1" applyFill="1" applyBorder="1" applyAlignment="1">
      <alignment horizontal="center" vertical="center"/>
    </xf>
    <xf numFmtId="0" fontId="1" fillId="7" borderId="26" xfId="2" applyFont="1" applyFill="1" applyBorder="1" applyAlignment="1">
      <alignment horizontal="center" vertical="center"/>
    </xf>
    <xf numFmtId="0" fontId="1" fillId="3" borderId="21" xfId="2" applyFont="1" applyBorder="1" applyAlignment="1">
      <alignment horizontal="left" vertical="center"/>
    </xf>
    <xf numFmtId="0" fontId="1" fillId="3" borderId="23" xfId="2" applyFont="1" applyBorder="1" applyAlignment="1">
      <alignment horizontal="left" vertical="center"/>
    </xf>
    <xf numFmtId="0" fontId="1" fillId="3" borderId="24" xfId="2" applyFont="1" applyBorder="1" applyAlignment="1">
      <alignment horizontal="left" vertical="center"/>
    </xf>
    <xf numFmtId="0" fontId="1" fillId="3" borderId="6" xfId="2" applyFont="1" applyBorder="1" applyAlignment="1">
      <alignment horizontal="left" vertical="center"/>
    </xf>
    <xf numFmtId="0" fontId="1" fillId="3" borderId="4" xfId="2" applyFont="1" applyBorder="1" applyAlignment="1">
      <alignment horizontal="left" vertical="center" wrapText="1"/>
    </xf>
    <xf numFmtId="0" fontId="1" fillId="3" borderId="25" xfId="2" applyFont="1" applyBorder="1" applyAlignment="1">
      <alignment horizontal="left" vertical="center" wrapText="1"/>
    </xf>
    <xf numFmtId="0" fontId="1" fillId="3" borderId="27" xfId="2" applyFont="1" applyBorder="1" applyAlignment="1">
      <alignment horizontal="left" vertical="center"/>
    </xf>
    <xf numFmtId="49" fontId="17" fillId="3" borderId="0" xfId="2" applyNumberFormat="1" applyFont="1" applyAlignment="1">
      <alignment horizontal="left"/>
    </xf>
    <xf numFmtId="49" fontId="18" fillId="3" borderId="0" xfId="2" applyNumberFormat="1" applyFont="1" applyAlignment="1">
      <alignment horizontal="left"/>
    </xf>
    <xf numFmtId="49" fontId="18" fillId="3" borderId="6" xfId="2" applyNumberFormat="1" applyFont="1" applyBorder="1" applyAlignment="1">
      <alignment horizontal="left"/>
    </xf>
    <xf numFmtId="49" fontId="18" fillId="3" borderId="12" xfId="2" applyNumberFormat="1" applyFont="1" applyBorder="1" applyAlignment="1">
      <alignment horizontal="left"/>
    </xf>
    <xf numFmtId="49" fontId="18" fillId="3" borderId="13" xfId="2" applyNumberFormat="1" applyFont="1" applyBorder="1" applyAlignment="1">
      <alignment horizontal="left"/>
    </xf>
    <xf numFmtId="0" fontId="7" fillId="5" borderId="3" xfId="2" applyFont="1" applyFill="1" applyBorder="1" applyAlignment="1">
      <alignment horizontal="left" vertical="center"/>
    </xf>
    <xf numFmtId="0" fontId="8" fillId="5" borderId="3" xfId="2" applyFont="1" applyFill="1" applyBorder="1" applyAlignment="1">
      <alignment horizontal="left" vertical="center"/>
    </xf>
    <xf numFmtId="0" fontId="10" fillId="5" borderId="3" xfId="2" applyFont="1" applyFill="1" applyBorder="1" applyAlignment="1">
      <alignment horizontal="center"/>
    </xf>
    <xf numFmtId="0" fontId="10" fillId="5" borderId="4" xfId="2" applyFont="1" applyFill="1" applyBorder="1" applyAlignment="1">
      <alignment horizontal="center"/>
    </xf>
    <xf numFmtId="0" fontId="12" fillId="6" borderId="7" xfId="2" applyFont="1" applyFill="1" applyBorder="1"/>
    <xf numFmtId="0" fontId="12" fillId="6" borderId="8" xfId="2" applyFont="1" applyFill="1" applyBorder="1"/>
    <xf numFmtId="0" fontId="12" fillId="6" borderId="9" xfId="2" applyFont="1" applyFill="1" applyBorder="1"/>
  </cellXfs>
  <cellStyles count="34">
    <cellStyle name="Normal" xfId="0" builtinId="0"/>
    <cellStyle name="Normal 10" xfId="9"/>
    <cellStyle name="Normal 11" xfId="10"/>
    <cellStyle name="Normal 12" xfId="11"/>
    <cellStyle name="Normal 13" xfId="12"/>
    <cellStyle name="Normal 14" xfId="13"/>
    <cellStyle name="Normal 15" xfId="14"/>
    <cellStyle name="Normal 16" xfId="15"/>
    <cellStyle name="Normal 17" xfId="16"/>
    <cellStyle name="Normal 18" xfId="17"/>
    <cellStyle name="Normal 19" xfId="18"/>
    <cellStyle name="Normal 2" xfId="2"/>
    <cellStyle name="Normal 20" xfId="19"/>
    <cellStyle name="Normal 21" xfId="20"/>
    <cellStyle name="Normal 22" xfId="21"/>
    <cellStyle name="Normal 23" xfId="22"/>
    <cellStyle name="Normal 24" xfId="23"/>
    <cellStyle name="Normal 25" xfId="24"/>
    <cellStyle name="Normal 26" xfId="25"/>
    <cellStyle name="Normal 27" xfId="26"/>
    <cellStyle name="Normal 28" xfId="27"/>
    <cellStyle name="Normal 29" xfId="28"/>
    <cellStyle name="Normal 3" xfId="1"/>
    <cellStyle name="Normal 30" xfId="29"/>
    <cellStyle name="Normal 31" xfId="30"/>
    <cellStyle name="Normal 32" xfId="31"/>
    <cellStyle name="Normal 33" xfId="32"/>
    <cellStyle name="Normal 34" xfId="33"/>
    <cellStyle name="Normal 4" xfId="3"/>
    <cellStyle name="Normal 5" xfId="4"/>
    <cellStyle name="Normal 6" xfId="5"/>
    <cellStyle name="Normal 7" xfId="6"/>
    <cellStyle name="Normal 8" xfId="7"/>
    <cellStyle name="Normal 9" xfId="8"/>
  </cellStyles>
  <dxfs count="108">
    <dxf>
      <font>
        <b val="0"/>
        <i val="0"/>
        <strike val="0"/>
        <condense val="0"/>
        <extend val="0"/>
        <outline val="0"/>
        <shadow val="0"/>
        <u val="none"/>
        <vertAlign val="baseline"/>
        <sz val="11"/>
        <color theme="1"/>
        <name val="Calibri"/>
        <scheme val="minor"/>
      </font>
      <numFmt numFmtId="165"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5"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5"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5"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5"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5"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5"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5" formatCode="d"/>
      <fill>
        <patternFill patternType="none">
          <fgColor indexed="64"/>
          <bgColor indexed="65"/>
        </patternFill>
      </fill>
      <alignment horizontal="center" vertical="bottom" textRotation="0" wrapText="0" indent="0" justifyLastLine="0" shrinkToFit="0" readingOrder="0"/>
    </dxf>
    <dxf>
      <font>
        <b/>
        <i val="0"/>
        <strike val="0"/>
        <condense val="0"/>
        <extend val="0"/>
        <outline val="0"/>
        <shadow val="0"/>
        <u val="none"/>
        <vertAlign val="baseline"/>
        <sz val="11"/>
        <color theme="1" tint="0.34998626667073579"/>
        <name val="Calibri"/>
        <scheme val="minor"/>
      </font>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5"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5"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5"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5"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5"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5"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5"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5" formatCode="d"/>
      <fill>
        <patternFill patternType="none">
          <fgColor indexed="64"/>
          <bgColor indexed="65"/>
        </patternFill>
      </fill>
      <alignment horizontal="center" vertical="bottom" textRotation="0" wrapText="0" indent="0" justifyLastLine="0" shrinkToFit="0" readingOrder="0"/>
    </dxf>
    <dxf>
      <font>
        <b/>
        <i val="0"/>
        <strike val="0"/>
        <condense val="0"/>
        <extend val="0"/>
        <outline val="0"/>
        <shadow val="0"/>
        <u val="none"/>
        <vertAlign val="baseline"/>
        <sz val="11"/>
        <color theme="1" tint="0.34998626667073579"/>
        <name val="Calibri"/>
        <scheme val="minor"/>
      </font>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5"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5"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5"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5"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5"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5"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5"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5" formatCode="d"/>
      <fill>
        <patternFill patternType="none">
          <fgColor indexed="64"/>
          <bgColor indexed="65"/>
        </patternFill>
      </fill>
      <alignment horizontal="center" vertical="bottom" textRotation="0" wrapText="0" indent="0" justifyLastLine="0" shrinkToFit="0" readingOrder="0"/>
    </dxf>
    <dxf>
      <font>
        <b/>
        <i val="0"/>
        <strike val="0"/>
        <condense val="0"/>
        <extend val="0"/>
        <outline val="0"/>
        <shadow val="0"/>
        <u val="none"/>
        <vertAlign val="baseline"/>
        <sz val="11"/>
        <color theme="1" tint="0.34998626667073579"/>
        <name val="Calibri"/>
        <scheme val="minor"/>
      </font>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5"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5"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5"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5"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5"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5"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5"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5" formatCode="d"/>
      <fill>
        <patternFill patternType="none">
          <fgColor indexed="64"/>
          <bgColor indexed="65"/>
        </patternFill>
      </fill>
      <alignment horizontal="center" vertical="bottom" textRotation="0" wrapText="0" indent="0" justifyLastLine="0" shrinkToFit="0" readingOrder="0"/>
    </dxf>
    <dxf>
      <font>
        <b/>
        <i val="0"/>
        <strike val="0"/>
        <condense val="0"/>
        <extend val="0"/>
        <outline val="0"/>
        <shadow val="0"/>
        <u val="none"/>
        <vertAlign val="baseline"/>
        <sz val="11"/>
        <color theme="1" tint="0.34998626667073579"/>
        <name val="Calibri"/>
        <scheme val="minor"/>
      </font>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5"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5"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5"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5"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5"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5"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5"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5" formatCode="d"/>
      <fill>
        <patternFill patternType="none">
          <fgColor indexed="64"/>
          <bgColor indexed="65"/>
        </patternFill>
      </fill>
      <alignment horizontal="center" vertical="bottom" textRotation="0" wrapText="0" indent="0" justifyLastLine="0" shrinkToFit="0" readingOrder="0"/>
    </dxf>
    <dxf>
      <font>
        <b/>
        <i val="0"/>
        <strike val="0"/>
        <condense val="0"/>
        <extend val="0"/>
        <outline val="0"/>
        <shadow val="0"/>
        <u val="none"/>
        <vertAlign val="baseline"/>
        <sz val="11"/>
        <color theme="1" tint="0.34998626667073579"/>
        <name val="Calibri"/>
        <scheme val="minor"/>
      </font>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5"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5"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5"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5"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5"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5"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5"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5" formatCode="d"/>
      <fill>
        <patternFill patternType="none">
          <fgColor indexed="64"/>
          <bgColor indexed="65"/>
        </patternFill>
      </fill>
      <alignment horizontal="center" vertical="bottom" textRotation="0" wrapText="0" indent="0" justifyLastLine="0" shrinkToFit="0" readingOrder="0"/>
    </dxf>
    <dxf>
      <font>
        <b/>
        <i val="0"/>
        <strike val="0"/>
        <condense val="0"/>
        <extend val="0"/>
        <outline val="0"/>
        <shadow val="0"/>
        <u val="none"/>
        <vertAlign val="baseline"/>
        <sz val="11"/>
        <color theme="1" tint="0.34998626667073579"/>
        <name val="Calibri"/>
        <scheme val="minor"/>
      </font>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5"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5"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5"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5"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5"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5"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5"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5" formatCode="d"/>
      <fill>
        <patternFill patternType="none">
          <fgColor indexed="64"/>
          <bgColor indexed="65"/>
        </patternFill>
      </fill>
      <alignment horizontal="center" vertical="bottom" textRotation="0" wrapText="0" indent="0" justifyLastLine="0" shrinkToFit="0" readingOrder="0"/>
    </dxf>
    <dxf>
      <font>
        <b/>
        <i val="0"/>
        <strike val="0"/>
        <condense val="0"/>
        <extend val="0"/>
        <outline val="0"/>
        <shadow val="0"/>
        <u val="none"/>
        <vertAlign val="baseline"/>
        <sz val="11"/>
        <color theme="1" tint="0.34998626667073579"/>
        <name val="Calibri"/>
        <scheme val="minor"/>
      </font>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5"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5"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5"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5"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5"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5"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5"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5" formatCode="d"/>
      <fill>
        <patternFill patternType="none">
          <fgColor indexed="64"/>
          <bgColor indexed="65"/>
        </patternFill>
      </fill>
      <alignment horizontal="center" vertical="bottom" textRotation="0" wrapText="0" indent="0" justifyLastLine="0" shrinkToFit="0" readingOrder="0"/>
    </dxf>
    <dxf>
      <font>
        <b/>
        <i val="0"/>
        <strike val="0"/>
        <condense val="0"/>
        <extend val="0"/>
        <outline val="0"/>
        <shadow val="0"/>
        <u val="none"/>
        <vertAlign val="baseline"/>
        <sz val="11"/>
        <color theme="1" tint="0.34998626667073579"/>
        <name val="Calibri"/>
        <scheme val="minor"/>
      </font>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5"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5"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5"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5"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5"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5"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5"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5" formatCode="d"/>
      <fill>
        <patternFill patternType="none">
          <fgColor indexed="64"/>
          <bgColor indexed="65"/>
        </patternFill>
      </fill>
      <alignment horizontal="center" vertical="bottom" textRotation="0" wrapText="0" indent="0" justifyLastLine="0" shrinkToFit="0" readingOrder="0"/>
    </dxf>
    <dxf>
      <font>
        <b/>
        <i val="0"/>
        <strike val="0"/>
        <condense val="0"/>
        <extend val="0"/>
        <outline val="0"/>
        <shadow val="0"/>
        <u val="none"/>
        <vertAlign val="baseline"/>
        <sz val="11"/>
        <color theme="1" tint="0.34998626667073579"/>
        <name val="Calibri"/>
        <scheme val="minor"/>
      </font>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5"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5"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5"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5"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5"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5"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5"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5" formatCode="d"/>
      <fill>
        <patternFill patternType="none">
          <fgColor indexed="64"/>
          <bgColor indexed="65"/>
        </patternFill>
      </fill>
      <alignment horizontal="center" vertical="bottom" textRotation="0" wrapText="0" indent="0" justifyLastLine="0" shrinkToFit="0" readingOrder="0"/>
    </dxf>
    <dxf>
      <font>
        <b/>
        <i val="0"/>
        <strike val="0"/>
        <condense val="0"/>
        <extend val="0"/>
        <outline val="0"/>
        <shadow val="0"/>
        <u val="none"/>
        <vertAlign val="baseline"/>
        <sz val="11"/>
        <color theme="1" tint="0.34998626667073579"/>
        <name val="Calibri"/>
        <scheme val="minor"/>
      </font>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5"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5"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5"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5"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5"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5"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5"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5" formatCode="d"/>
      <fill>
        <patternFill patternType="none">
          <fgColor indexed="64"/>
          <bgColor auto="1"/>
        </patternFill>
      </fill>
      <alignment horizontal="center" vertical="bottom" textRotation="0" wrapText="0" indent="0" justifyLastLine="0" shrinkToFit="0" readingOrder="0"/>
    </dxf>
    <dxf>
      <font>
        <b/>
        <i val="0"/>
        <strike val="0"/>
        <condense val="0"/>
        <extend val="0"/>
        <outline val="0"/>
        <shadow val="0"/>
        <u val="none"/>
        <vertAlign val="baseline"/>
        <sz val="11"/>
        <color theme="1" tint="0.34998626667073579"/>
        <name val="Calibri"/>
        <scheme val="minor"/>
      </font>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5"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5"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5"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5"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5"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5"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5"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5" formatCode="d"/>
      <fill>
        <patternFill patternType="none">
          <fgColor indexed="64"/>
          <bgColor auto="1"/>
        </patternFill>
      </fill>
      <alignment horizontal="center" vertical="bottom" textRotation="0" wrapText="0" indent="0" justifyLastLine="0" shrinkToFit="0" readingOrder="0"/>
    </dxf>
    <dxf>
      <font>
        <b/>
        <i val="0"/>
        <strike val="0"/>
        <condense val="0"/>
        <extend val="0"/>
        <outline val="0"/>
        <shadow val="0"/>
        <u val="none"/>
        <vertAlign val="baseline"/>
        <sz val="11"/>
        <color theme="1" tint="0.34998626667073579"/>
        <name val="Calibri"/>
        <scheme val="minor"/>
      </font>
      <fill>
        <patternFill patternType="none">
          <fgColor indexed="64"/>
          <bgColor indexed="65"/>
        </patternFill>
      </fill>
      <alignment horizontal="center" vertical="bottom"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Spin" dx="16" fmlaLink="$C$1" max="2999" min="1900" page="10" val="2024"/>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114300</xdr:colOff>
          <xdr:row>0</xdr:row>
          <xdr:rowOff>38100</xdr:rowOff>
        </xdr:from>
        <xdr:to>
          <xdr:col>2</xdr:col>
          <xdr:colOff>47625</xdr:colOff>
          <xdr:row>0</xdr:row>
          <xdr:rowOff>342900</xdr:rowOff>
        </xdr:to>
        <xdr:sp macro="" textlink="">
          <xdr:nvSpPr>
            <xdr:cNvPr id="2049" name="Control numérico" hidden="1">
              <a:extLst>
                <a:ext uri="{63B3BB69-23CF-44E3-9099-C40C66FF867C}">
                  <a14:compatExt spid="_x0000_s2049"/>
                </a:ext>
              </a:extLst>
            </xdr:cNvPr>
            <xdr:cNvSpPr/>
          </xdr:nvSpPr>
          <xdr:spPr>
            <a:xfrm>
              <a:off x="0" y="0"/>
              <a:ext cx="0" cy="0"/>
            </a:xfrm>
            <a:prstGeom prst="rect">
              <a:avLst/>
            </a:prstGeom>
          </xdr:spPr>
        </xdr:sp>
        <xdr:clientData fPrintsWithSheet="0"/>
      </xdr:twoCellAnchor>
    </mc:Choice>
    <mc:Fallback/>
  </mc:AlternateContent>
  <xdr:twoCellAnchor editAs="oneCell">
    <xdr:from>
      <xdr:col>20</xdr:col>
      <xdr:colOff>142875</xdr:colOff>
      <xdr:row>2</xdr:row>
      <xdr:rowOff>47625</xdr:rowOff>
    </xdr:from>
    <xdr:to>
      <xdr:col>22</xdr:col>
      <xdr:colOff>392881</xdr:colOff>
      <xdr:row>5</xdr:row>
      <xdr:rowOff>0</xdr:rowOff>
    </xdr:to>
    <xdr:pic>
      <xdr:nvPicPr>
        <xdr:cNvPr id="3" name="Imagen 2">
          <a:extLst>
            <a:ext uri="{FF2B5EF4-FFF2-40B4-BE49-F238E27FC236}">
              <a16:creationId xmlns:a16="http://schemas.microsoft.com/office/drawing/2014/main" xmlns=""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401050" y="619125"/>
          <a:ext cx="3536131" cy="523875"/>
        </a:xfrm>
        <a:prstGeom prst="rect">
          <a:avLst/>
        </a:prstGeom>
      </xdr:spPr>
    </xdr:pic>
    <xdr:clientData/>
  </xdr:twoCellAnchor>
</xdr:wsDr>
</file>

<file path=xl/tables/table1.xml><?xml version="1.0" encoding="utf-8"?>
<table xmlns="http://schemas.openxmlformats.org/spreadsheetml/2006/main" id="1" name="Septiembre" displayName="Septiembre" ref="C40:I46" totalsRowShown="0" headerRowDxfId="107" dataDxfId="106">
  <autoFilter ref="C40:I46">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LUN" dataDxfId="105"/>
    <tableColumn id="2" name="MAR" dataDxfId="104"/>
    <tableColumn id="3" name="MIÉ" dataDxfId="103"/>
    <tableColumn id="4" name="JUE" dataDxfId="102"/>
    <tableColumn id="5" name="VIE" dataDxfId="101"/>
    <tableColumn id="6" name="SÁB" dataDxfId="100"/>
    <tableColumn id="7" name="DOM" dataDxfId="99"/>
  </tableColumns>
  <tableStyleInfo showFirstColumn="0" showLastColumn="0" showRowStripes="0" showColumnStripes="0"/>
  <extLst>
    <ext xmlns:x14="http://schemas.microsoft.com/office/spreadsheetml/2009/9/main" uri="{504A1905-F514-4f6f-8877-14C23A59335A}">
      <x14:table altTextSummary="El calendario de septiembre en esta tabla se actualiza automáticamente con fechas y nombres de los días laborables"/>
    </ext>
  </extLst>
</table>
</file>

<file path=xl/tables/table10.xml><?xml version="1.0" encoding="utf-8"?>
<table xmlns="http://schemas.openxmlformats.org/spreadsheetml/2006/main" id="10" name="Abril" displayName="Abril" ref="K13:Q19" totalsRowShown="0" headerRowDxfId="26" dataDxfId="25">
  <autoFilter ref="K13:Q19">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LUN" dataDxfId="24"/>
    <tableColumn id="2" name="MAR" dataDxfId="23"/>
    <tableColumn id="3" name="MIÉ" dataDxfId="22"/>
    <tableColumn id="4" name="JUE" dataDxfId="21"/>
    <tableColumn id="5" name="VIE" dataDxfId="20"/>
    <tableColumn id="6" name="SÁB" dataDxfId="19"/>
    <tableColumn id="7" name="DOM" dataDxfId="18"/>
  </tableColumns>
  <tableStyleInfo showFirstColumn="0" showLastColumn="0" showRowStripes="0" showColumnStripes="0"/>
  <extLst>
    <ext xmlns:x14="http://schemas.microsoft.com/office/spreadsheetml/2009/9/main" uri="{504A1905-F514-4f6f-8877-14C23A59335A}">
      <x14:table altTextSummary="El calendario de abril en esta tabla se actualiza automáticamente con fechas y nombres de los días laborables"/>
    </ext>
  </extLst>
</table>
</file>

<file path=xl/tables/table11.xml><?xml version="1.0" encoding="utf-8"?>
<table xmlns="http://schemas.openxmlformats.org/spreadsheetml/2006/main" id="11" name="Febrero" displayName="Febrero" ref="K4:Q10" totalsRowShown="0" headerRowDxfId="17" dataDxfId="16">
  <autoFilter ref="K4:Q10">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LUN" dataDxfId="15"/>
    <tableColumn id="2" name="MAR" dataDxfId="14"/>
    <tableColumn id="3" name="MIÉ." dataDxfId="13"/>
    <tableColumn id="4" name="JUE" dataDxfId="12"/>
    <tableColumn id="5" name="VIE" dataDxfId="11"/>
    <tableColumn id="6" name="SÁB" dataDxfId="10"/>
    <tableColumn id="7" name="DOM" dataDxfId="9"/>
  </tableColumns>
  <tableStyleInfo showFirstColumn="0" showLastColumn="0" showRowStripes="0" showColumnStripes="0"/>
  <extLst>
    <ext xmlns:x14="http://schemas.microsoft.com/office/spreadsheetml/2009/9/main" uri="{504A1905-F514-4f6f-8877-14C23A59335A}">
      <x14:table altTextSummary="El calendario de febrero en esta tabla se actualiza automáticamente con fechas y nombres de los días laborables "/>
    </ext>
  </extLst>
</table>
</file>

<file path=xl/tables/table12.xml><?xml version="1.0" encoding="utf-8"?>
<table xmlns="http://schemas.openxmlformats.org/spreadsheetml/2006/main" id="12" name="Enero" displayName="Enero" ref="C4:I10" totalsRowShown="0" headerRowDxfId="8" dataDxfId="7">
  <autoFilter ref="C4:I10">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LUN" dataDxfId="6"/>
    <tableColumn id="2" name="MAR" dataDxfId="5"/>
    <tableColumn id="3" name="MIÉ." dataDxfId="4"/>
    <tableColumn id="4" name="JUE" dataDxfId="3"/>
    <tableColumn id="5" name="VIE" dataDxfId="2"/>
    <tableColumn id="6" name="SÁB" dataDxfId="1"/>
    <tableColumn id="7" name="DOM" dataDxfId="0"/>
  </tableColumns>
  <tableStyleInfo showFirstColumn="0" showLastColumn="0" showRowStripes="0" showColumnStripes="0"/>
  <extLst>
    <ext xmlns:x14="http://schemas.microsoft.com/office/spreadsheetml/2009/9/main" uri="{504A1905-F514-4f6f-8877-14C23A59335A}">
      <x14:table altTextSummary="El calendario de enero en esta tabla se actualiza automáticamente con fechas y nombres de los días laborables"/>
    </ext>
  </extLst>
</table>
</file>

<file path=xl/tables/table2.xml><?xml version="1.0" encoding="utf-8"?>
<table xmlns="http://schemas.openxmlformats.org/spreadsheetml/2006/main" id="2" name="Octubre" displayName="Octubre" ref="K40:Q46" totalsRowShown="0" headerRowDxfId="98" dataDxfId="97">
  <autoFilter ref="K40:Q46">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LUN" dataDxfId="96"/>
    <tableColumn id="2" name="MAR" dataDxfId="95"/>
    <tableColumn id="3" name="MIÉ" dataDxfId="94"/>
    <tableColumn id="4" name="JUE" dataDxfId="93"/>
    <tableColumn id="5" name="VIE" dataDxfId="92"/>
    <tableColumn id="6" name="SÁB" dataDxfId="91"/>
    <tableColumn id="7" name="DOM" dataDxfId="90"/>
  </tableColumns>
  <tableStyleInfo showFirstColumn="0" showLastColumn="0" showRowStripes="0" showColumnStripes="0"/>
  <extLst>
    <ext xmlns:x14="http://schemas.microsoft.com/office/spreadsheetml/2009/9/main" uri="{504A1905-F514-4f6f-8877-14C23A59335A}">
      <x14:table altTextSummary="El calendario de octubre en esta tabla se actualiza automáticamente con fechas y nombres de los días laborables"/>
    </ext>
  </extLst>
</table>
</file>

<file path=xl/tables/table3.xml><?xml version="1.0" encoding="utf-8"?>
<table xmlns="http://schemas.openxmlformats.org/spreadsheetml/2006/main" id="3" name="Diciembre" displayName="Diciembre" ref="K49:Q55" totalsRowShown="0" headerRowDxfId="89" dataDxfId="88">
  <autoFilter ref="K49:Q55">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LUN" dataDxfId="87"/>
    <tableColumn id="2" name="MAR" dataDxfId="86"/>
    <tableColumn id="3" name="MIÉ" dataDxfId="85"/>
    <tableColumn id="4" name="JUE" dataDxfId="84"/>
    <tableColumn id="5" name="VIE" dataDxfId="83"/>
    <tableColumn id="6" name="SÁB" dataDxfId="82"/>
    <tableColumn id="7" name="DOM" dataDxfId="81"/>
  </tableColumns>
  <tableStyleInfo showFirstColumn="0" showLastColumn="0" showRowStripes="0" showColumnStripes="0"/>
  <extLst>
    <ext xmlns:x14="http://schemas.microsoft.com/office/spreadsheetml/2009/9/main" uri="{504A1905-F514-4f6f-8877-14C23A59335A}">
      <x14:table altTextSummary="El calendario de diciembre en esta tabla se actualiza automáticamente con fechas y nombres de los días laborables"/>
    </ext>
  </extLst>
</table>
</file>

<file path=xl/tables/table4.xml><?xml version="1.0" encoding="utf-8"?>
<table xmlns="http://schemas.openxmlformats.org/spreadsheetml/2006/main" id="4" name="Noviembre" displayName="Noviembre" ref="C49:I55" totalsRowShown="0" headerRowDxfId="80" dataDxfId="79">
  <autoFilter ref="C49:I55">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LUN" dataDxfId="78"/>
    <tableColumn id="2" name="MAR" dataDxfId="77"/>
    <tableColumn id="3" name="MIÉ" dataDxfId="76"/>
    <tableColumn id="4" name="JUE" dataDxfId="75"/>
    <tableColumn id="5" name="VIE" dataDxfId="74"/>
    <tableColumn id="6" name="SÁB" dataDxfId="73"/>
    <tableColumn id="7" name="DOM" dataDxfId="72"/>
  </tableColumns>
  <tableStyleInfo showFirstColumn="0" showLastColumn="0" showRowStripes="0" showColumnStripes="0"/>
  <extLst>
    <ext xmlns:x14="http://schemas.microsoft.com/office/spreadsheetml/2009/9/main" uri="{504A1905-F514-4f6f-8877-14C23A59335A}">
      <x14:table altTextSummary="El calendario de noviembre en esta tabla se actualiza automáticamente con fechas y nombres de los días laborables"/>
    </ext>
  </extLst>
</table>
</file>

<file path=xl/tables/table5.xml><?xml version="1.0" encoding="utf-8"?>
<table xmlns="http://schemas.openxmlformats.org/spreadsheetml/2006/main" id="5" name="Agosto" displayName="Agosto" ref="K31:Q37" totalsRowShown="0" headerRowDxfId="71" dataDxfId="70">
  <autoFilter ref="K31:Q37">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LUN" dataDxfId="69"/>
    <tableColumn id="2" name="MAR" dataDxfId="68"/>
    <tableColumn id="3" name="MIÉ" dataDxfId="67"/>
    <tableColumn id="4" name="JUE" dataDxfId="66"/>
    <tableColumn id="5" name="VIE" dataDxfId="65"/>
    <tableColumn id="6" name="SÁB" dataDxfId="64"/>
    <tableColumn id="7" name="DOM" dataDxfId="63"/>
  </tableColumns>
  <tableStyleInfo showFirstColumn="0" showLastColumn="0" showRowStripes="0" showColumnStripes="0"/>
  <extLst>
    <ext xmlns:x14="http://schemas.microsoft.com/office/spreadsheetml/2009/9/main" uri="{504A1905-F514-4f6f-8877-14C23A59335A}">
      <x14:table altTextSummary="El calendario de agosto en esta tabla se actualiza automáticamente con fechas y nombres de los días laborables"/>
    </ext>
  </extLst>
</table>
</file>

<file path=xl/tables/table6.xml><?xml version="1.0" encoding="utf-8"?>
<table xmlns="http://schemas.openxmlformats.org/spreadsheetml/2006/main" id="6" name="Julio" displayName="Julio" ref="C31:I37" totalsRowShown="0" headerRowDxfId="62" dataDxfId="61">
  <autoFilter ref="C31:I37">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LUN" dataDxfId="60"/>
    <tableColumn id="2" name="MAR" dataDxfId="59"/>
    <tableColumn id="3" name="MIÉ" dataDxfId="58"/>
    <tableColumn id="4" name="JUE" dataDxfId="57"/>
    <tableColumn id="5" name="VIE" dataDxfId="56"/>
    <tableColumn id="6" name="SÁB" dataDxfId="55"/>
    <tableColumn id="7" name="DOM" dataDxfId="54"/>
  </tableColumns>
  <tableStyleInfo showFirstColumn="0" showLastColumn="0" showRowStripes="0" showColumnStripes="0"/>
  <extLst>
    <ext xmlns:x14="http://schemas.microsoft.com/office/spreadsheetml/2009/9/main" uri="{504A1905-F514-4f6f-8877-14C23A59335A}">
      <x14:table altTextSummary="El calendario de julio en esta tabla se actualiza automáticamente con fechas y nombres de los días laborables"/>
    </ext>
  </extLst>
</table>
</file>

<file path=xl/tables/table7.xml><?xml version="1.0" encoding="utf-8"?>
<table xmlns="http://schemas.openxmlformats.org/spreadsheetml/2006/main" id="7" name="Junio" displayName="Junio" ref="K22:Q28" totalsRowShown="0" headerRowDxfId="53" dataDxfId="52">
  <autoFilter ref="K22:Q28">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LUN" dataDxfId="51"/>
    <tableColumn id="2" name="MAR" dataDxfId="50"/>
    <tableColumn id="3" name="MIÉ" dataDxfId="49"/>
    <tableColumn id="4" name="JUE" dataDxfId="48"/>
    <tableColumn id="5" name="VIE" dataDxfId="47"/>
    <tableColumn id="6" name="SÁB" dataDxfId="46"/>
    <tableColumn id="7" name="DOM" dataDxfId="45"/>
  </tableColumns>
  <tableStyleInfo showFirstColumn="0" showLastColumn="0" showRowStripes="0" showColumnStripes="0"/>
  <extLst>
    <ext xmlns:x14="http://schemas.microsoft.com/office/spreadsheetml/2009/9/main" uri="{504A1905-F514-4f6f-8877-14C23A59335A}">
      <x14:table altTextSummary="El calendario de junio en esta tabla se actualiza automáticamente con fechas y nombres de los días laborables"/>
    </ext>
  </extLst>
</table>
</file>

<file path=xl/tables/table8.xml><?xml version="1.0" encoding="utf-8"?>
<table xmlns="http://schemas.openxmlformats.org/spreadsheetml/2006/main" id="8" name="Mayo" displayName="Mayo" ref="C22:I28" totalsRowShown="0" headerRowDxfId="44" dataDxfId="43">
  <autoFilter ref="C22:I28">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LUN" dataDxfId="42"/>
    <tableColumn id="2" name="MAR" dataDxfId="41"/>
    <tableColumn id="3" name="MIÉ" dataDxfId="40"/>
    <tableColumn id="4" name="JUE" dataDxfId="39"/>
    <tableColumn id="5" name="VIE" dataDxfId="38"/>
    <tableColumn id="6" name="SÁB" dataDxfId="37"/>
    <tableColumn id="7" name="DOM" dataDxfId="36"/>
  </tableColumns>
  <tableStyleInfo showFirstColumn="0" showLastColumn="0" showRowStripes="0" showColumnStripes="0"/>
  <extLst>
    <ext xmlns:x14="http://schemas.microsoft.com/office/spreadsheetml/2009/9/main" uri="{504A1905-F514-4f6f-8877-14C23A59335A}">
      <x14:table altTextSummary="El calendario de mayo en esta tabla se actualiza automáticamente con fechas y nombres de los días laborables"/>
    </ext>
  </extLst>
</table>
</file>

<file path=xl/tables/table9.xml><?xml version="1.0" encoding="utf-8"?>
<table xmlns="http://schemas.openxmlformats.org/spreadsheetml/2006/main" id="9" name="Marzo" displayName="Marzo" ref="C13:I19" totalsRowShown="0" headerRowDxfId="35" dataDxfId="34">
  <autoFilter ref="C13:I19">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LUN" dataDxfId="33"/>
    <tableColumn id="2" name="MAR" dataDxfId="32"/>
    <tableColumn id="3" name="MIÉ" dataDxfId="31"/>
    <tableColumn id="4" name="JUE" dataDxfId="30"/>
    <tableColumn id="5" name="VIE" dataDxfId="29"/>
    <tableColumn id="6" name="SÁB" dataDxfId="28"/>
    <tableColumn id="7" name="DOM" dataDxfId="27"/>
  </tableColumns>
  <tableStyleInfo showFirstColumn="0" showLastColumn="0" showRowStripes="0" showColumnStripes="0"/>
  <extLst>
    <ext xmlns:x14="http://schemas.microsoft.com/office/spreadsheetml/2009/9/main" uri="{504A1905-F514-4f6f-8877-14C23A59335A}">
      <x14:table altTextSummary="El calendario de marzo en esta tabla se actualiza automáticamente con fechas y nombres de los días laborables"/>
    </ext>
  </extLst>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8" Type="http://schemas.openxmlformats.org/officeDocument/2006/relationships/table" Target="../tables/table4.xml"/><Relationship Id="rId13" Type="http://schemas.openxmlformats.org/officeDocument/2006/relationships/table" Target="../tables/table9.xml"/><Relationship Id="rId3" Type="http://schemas.openxmlformats.org/officeDocument/2006/relationships/vmlDrawing" Target="../drawings/vmlDrawing1.vml"/><Relationship Id="rId7" Type="http://schemas.openxmlformats.org/officeDocument/2006/relationships/table" Target="../tables/table3.xml"/><Relationship Id="rId12" Type="http://schemas.openxmlformats.org/officeDocument/2006/relationships/table" Target="../tables/table8.xml"/><Relationship Id="rId2" Type="http://schemas.openxmlformats.org/officeDocument/2006/relationships/drawing" Target="../drawings/drawing1.xml"/><Relationship Id="rId16" Type="http://schemas.openxmlformats.org/officeDocument/2006/relationships/table" Target="../tables/table12.xml"/><Relationship Id="rId1" Type="http://schemas.openxmlformats.org/officeDocument/2006/relationships/printerSettings" Target="../printerSettings/printerSettings1.bin"/><Relationship Id="rId6" Type="http://schemas.openxmlformats.org/officeDocument/2006/relationships/table" Target="../tables/table2.xml"/><Relationship Id="rId11" Type="http://schemas.openxmlformats.org/officeDocument/2006/relationships/table" Target="../tables/table7.xml"/><Relationship Id="rId5" Type="http://schemas.openxmlformats.org/officeDocument/2006/relationships/table" Target="../tables/table1.xml"/><Relationship Id="rId15" Type="http://schemas.openxmlformats.org/officeDocument/2006/relationships/table" Target="../tables/table11.xml"/><Relationship Id="rId10" Type="http://schemas.openxmlformats.org/officeDocument/2006/relationships/table" Target="../tables/table6.xml"/><Relationship Id="rId4" Type="http://schemas.openxmlformats.org/officeDocument/2006/relationships/ctrlProp" Target="../ctrlProps/ctrlProp1.xml"/><Relationship Id="rId9" Type="http://schemas.openxmlformats.org/officeDocument/2006/relationships/table" Target="../tables/table5.xml"/><Relationship Id="rId14" Type="http://schemas.openxmlformats.org/officeDocument/2006/relationships/table" Target="../tables/table1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92"/>
  <sheetViews>
    <sheetView tabSelected="1" topLeftCell="A2" workbookViewId="0">
      <selection activeCell="A13" sqref="A13"/>
    </sheetView>
  </sheetViews>
  <sheetFormatPr baseColWidth="10" defaultRowHeight="15" x14ac:dyDescent="0.25"/>
  <cols>
    <col min="1" max="1" width="43.42578125" bestFit="1" customWidth="1"/>
    <col min="2" max="2" width="8" bestFit="1" customWidth="1"/>
    <col min="3" max="3" width="33.5703125" bestFit="1" customWidth="1"/>
    <col min="4" max="4" width="31.7109375" bestFit="1" customWidth="1"/>
    <col min="5" max="5" width="33" bestFit="1" customWidth="1"/>
    <col min="6" max="6" width="31" bestFit="1" customWidth="1"/>
    <col min="7" max="7" width="30.28515625" bestFit="1" customWidth="1"/>
    <col min="8" max="8" width="42.140625" bestFit="1" customWidth="1"/>
    <col min="9" max="9" width="30.140625" bestFit="1" customWidth="1"/>
    <col min="10" max="10" width="33.5703125" bestFit="1" customWidth="1"/>
    <col min="11" max="11" width="40.42578125" bestFit="1" customWidth="1"/>
    <col min="12" max="12" width="34.85546875" bestFit="1" customWidth="1"/>
    <col min="13" max="13" width="17.5703125" bestFit="1" customWidth="1"/>
    <col min="14" max="14" width="20.140625" bestFit="1" customWidth="1"/>
    <col min="15" max="15" width="8" bestFit="1" customWidth="1"/>
  </cols>
  <sheetData>
    <row r="1" spans="1:15" hidden="1" x14ac:dyDescent="0.25">
      <c r="A1" s="66" t="s">
        <v>0</v>
      </c>
      <c r="B1" s="66"/>
      <c r="C1" s="66"/>
      <c r="D1" s="66"/>
      <c r="E1" s="66"/>
      <c r="F1" s="66"/>
      <c r="G1" s="66"/>
      <c r="H1" s="66"/>
      <c r="I1" s="66"/>
      <c r="J1" s="66"/>
      <c r="K1" s="66"/>
      <c r="L1" s="66"/>
      <c r="M1" s="66"/>
      <c r="N1" s="66"/>
      <c r="O1" s="66"/>
    </row>
    <row r="2" spans="1:15" x14ac:dyDescent="0.25">
      <c r="A2" s="80" t="s">
        <v>1</v>
      </c>
      <c r="B2" s="81"/>
      <c r="C2" s="81"/>
      <c r="D2" s="80" t="s">
        <v>2</v>
      </c>
      <c r="E2" s="81"/>
      <c r="F2" s="81"/>
      <c r="G2" s="80" t="s">
        <v>3</v>
      </c>
      <c r="H2" s="81"/>
      <c r="I2" s="81"/>
      <c r="J2" s="66"/>
      <c r="K2" s="66"/>
      <c r="L2" s="66"/>
      <c r="M2" s="66"/>
      <c r="N2" s="66"/>
      <c r="O2" s="66"/>
    </row>
    <row r="3" spans="1:15" x14ac:dyDescent="0.25">
      <c r="A3" s="82" t="s">
        <v>4</v>
      </c>
      <c r="B3" s="81"/>
      <c r="C3" s="81"/>
      <c r="D3" s="82" t="s">
        <v>5</v>
      </c>
      <c r="E3" s="81"/>
      <c r="F3" s="81"/>
      <c r="G3" s="82" t="s">
        <v>6</v>
      </c>
      <c r="H3" s="81"/>
      <c r="I3" s="81"/>
      <c r="J3" s="66"/>
      <c r="K3" s="66"/>
      <c r="L3" s="66"/>
      <c r="M3" s="66"/>
      <c r="N3" s="66"/>
      <c r="O3" s="66"/>
    </row>
    <row r="4" spans="1:15" hidden="1" x14ac:dyDescent="0.25">
      <c r="A4" s="66" t="s">
        <v>7</v>
      </c>
      <c r="B4" s="66" t="s">
        <v>8</v>
      </c>
      <c r="C4" s="66" t="s">
        <v>8</v>
      </c>
      <c r="D4" s="66" t="s">
        <v>9</v>
      </c>
      <c r="E4" s="66" t="s">
        <v>7</v>
      </c>
      <c r="F4" s="66" t="s">
        <v>9</v>
      </c>
      <c r="G4" s="66" t="s">
        <v>9</v>
      </c>
      <c r="H4" s="66" t="s">
        <v>7</v>
      </c>
      <c r="I4" s="66" t="s">
        <v>7</v>
      </c>
      <c r="J4" s="66" t="s">
        <v>7</v>
      </c>
      <c r="K4" s="66" t="s">
        <v>9</v>
      </c>
      <c r="L4" s="66" t="s">
        <v>9</v>
      </c>
      <c r="M4" s="66" t="s">
        <v>10</v>
      </c>
      <c r="N4" s="66" t="s">
        <v>11</v>
      </c>
      <c r="O4" s="66" t="s">
        <v>12</v>
      </c>
    </row>
    <row r="5" spans="1:15" hidden="1" x14ac:dyDescent="0.25">
      <c r="A5" s="66" t="s">
        <v>13</v>
      </c>
      <c r="B5" s="66" t="s">
        <v>14</v>
      </c>
      <c r="C5" s="66" t="s">
        <v>15</v>
      </c>
      <c r="D5" s="66" t="s">
        <v>16</v>
      </c>
      <c r="E5" s="66" t="s">
        <v>17</v>
      </c>
      <c r="F5" s="66" t="s">
        <v>18</v>
      </c>
      <c r="G5" s="66" t="s">
        <v>19</v>
      </c>
      <c r="H5" s="66" t="s">
        <v>20</v>
      </c>
      <c r="I5" s="66" t="s">
        <v>21</v>
      </c>
      <c r="J5" s="66" t="s">
        <v>22</v>
      </c>
      <c r="K5" s="66" t="s">
        <v>23</v>
      </c>
      <c r="L5" s="66" t="s">
        <v>24</v>
      </c>
      <c r="M5" s="66" t="s">
        <v>25</v>
      </c>
      <c r="N5" s="66" t="s">
        <v>26</v>
      </c>
      <c r="O5" s="66" t="s">
        <v>27</v>
      </c>
    </row>
    <row r="6" spans="1:15" x14ac:dyDescent="0.25">
      <c r="A6" s="80" t="s">
        <v>28</v>
      </c>
      <c r="B6" s="81"/>
      <c r="C6" s="81"/>
      <c r="D6" s="81"/>
      <c r="E6" s="81"/>
      <c r="F6" s="81"/>
      <c r="G6" s="81"/>
      <c r="H6" s="81"/>
      <c r="I6" s="81"/>
      <c r="J6" s="81"/>
      <c r="K6" s="81"/>
      <c r="L6" s="81"/>
      <c r="M6" s="81"/>
      <c r="N6" s="81"/>
      <c r="O6" s="81"/>
    </row>
    <row r="7" spans="1:15" x14ac:dyDescent="0.25">
      <c r="A7" s="67" t="s">
        <v>29</v>
      </c>
      <c r="B7" s="67" t="s">
        <v>30</v>
      </c>
      <c r="C7" s="67" t="s">
        <v>31</v>
      </c>
      <c r="D7" s="67" t="s">
        <v>32</v>
      </c>
      <c r="E7" s="67" t="s">
        <v>33</v>
      </c>
      <c r="F7" s="67" t="s">
        <v>34</v>
      </c>
      <c r="G7" s="67" t="s">
        <v>35</v>
      </c>
      <c r="H7" s="67" t="s">
        <v>36</v>
      </c>
      <c r="I7" s="67" t="s">
        <v>37</v>
      </c>
      <c r="J7" s="67" t="s">
        <v>38</v>
      </c>
      <c r="K7" s="67" t="s">
        <v>39</v>
      </c>
      <c r="L7" s="67" t="s">
        <v>40</v>
      </c>
      <c r="M7" s="67" t="s">
        <v>41</v>
      </c>
      <c r="N7" s="67" t="s">
        <v>42</v>
      </c>
      <c r="O7" s="67" t="s">
        <v>43</v>
      </c>
    </row>
    <row r="8" spans="1:15" x14ac:dyDescent="0.25">
      <c r="A8" s="63" t="s">
        <v>111</v>
      </c>
      <c r="B8" s="66">
        <v>2024</v>
      </c>
      <c r="C8" s="68">
        <v>121</v>
      </c>
      <c r="D8" s="64" t="s">
        <v>44</v>
      </c>
      <c r="E8" s="78" t="s">
        <v>263</v>
      </c>
      <c r="F8" s="73" t="s">
        <v>172</v>
      </c>
      <c r="G8" s="72" t="s">
        <v>173</v>
      </c>
      <c r="H8" s="73" t="s">
        <v>174</v>
      </c>
      <c r="I8" s="75" t="s">
        <v>45</v>
      </c>
      <c r="J8" s="76">
        <v>45473</v>
      </c>
      <c r="K8" s="77" t="s">
        <v>260</v>
      </c>
      <c r="L8" s="77" t="s">
        <v>260</v>
      </c>
      <c r="M8" s="69">
        <v>45473</v>
      </c>
      <c r="N8" s="69">
        <v>45473</v>
      </c>
      <c r="O8" s="70"/>
    </row>
    <row r="9" spans="1:15" x14ac:dyDescent="0.25">
      <c r="A9" s="63" t="s">
        <v>111</v>
      </c>
      <c r="B9" s="66">
        <v>2024</v>
      </c>
      <c r="C9" s="65">
        <v>121</v>
      </c>
      <c r="D9" s="65" t="s">
        <v>44</v>
      </c>
      <c r="E9" s="65" t="s">
        <v>112</v>
      </c>
      <c r="F9" s="72" t="s">
        <v>175</v>
      </c>
      <c r="G9" s="72" t="s">
        <v>173</v>
      </c>
      <c r="H9" s="72" t="s">
        <v>176</v>
      </c>
      <c r="I9" s="75" t="s">
        <v>45</v>
      </c>
      <c r="J9" s="76">
        <v>45473</v>
      </c>
      <c r="K9" s="79" t="s">
        <v>261</v>
      </c>
      <c r="L9" s="77" t="s">
        <v>260</v>
      </c>
      <c r="M9" s="69">
        <v>45473</v>
      </c>
      <c r="N9" s="69">
        <v>45473</v>
      </c>
      <c r="O9" s="71"/>
    </row>
    <row r="10" spans="1:15" x14ac:dyDescent="0.25">
      <c r="A10" s="63" t="s">
        <v>111</v>
      </c>
      <c r="B10" s="66">
        <v>2024</v>
      </c>
      <c r="C10" s="65">
        <v>121</v>
      </c>
      <c r="D10" s="65" t="s">
        <v>44</v>
      </c>
      <c r="E10" s="65" t="s">
        <v>113</v>
      </c>
      <c r="F10" s="72" t="s">
        <v>177</v>
      </c>
      <c r="G10" s="72" t="s">
        <v>173</v>
      </c>
      <c r="H10" s="72" t="s">
        <v>176</v>
      </c>
      <c r="I10" s="75" t="s">
        <v>45</v>
      </c>
      <c r="J10" s="76">
        <v>45473</v>
      </c>
      <c r="K10" s="77" t="s">
        <v>260</v>
      </c>
      <c r="L10" s="77" t="s">
        <v>260</v>
      </c>
      <c r="M10" s="69">
        <v>45473</v>
      </c>
      <c r="N10" s="69">
        <v>45473</v>
      </c>
      <c r="O10" s="62"/>
    </row>
    <row r="11" spans="1:15" x14ac:dyDescent="0.25">
      <c r="A11" s="63" t="s">
        <v>111</v>
      </c>
      <c r="B11" s="66">
        <v>2024</v>
      </c>
      <c r="C11" s="65">
        <v>121</v>
      </c>
      <c r="D11" s="65" t="s">
        <v>44</v>
      </c>
      <c r="E11" s="65" t="s">
        <v>114</v>
      </c>
      <c r="F11" s="72" t="s">
        <v>178</v>
      </c>
      <c r="G11" s="72" t="s">
        <v>173</v>
      </c>
      <c r="H11" s="72" t="s">
        <v>176</v>
      </c>
      <c r="I11" s="75" t="s">
        <v>45</v>
      </c>
      <c r="J11" s="76">
        <v>45473</v>
      </c>
      <c r="K11" s="77" t="s">
        <v>260</v>
      </c>
      <c r="L11" s="77" t="s">
        <v>260</v>
      </c>
      <c r="M11" s="69">
        <v>45473</v>
      </c>
      <c r="N11" s="69">
        <v>45473</v>
      </c>
      <c r="O11" s="66"/>
    </row>
    <row r="12" spans="1:15" x14ac:dyDescent="0.25">
      <c r="A12" s="63" t="s">
        <v>111</v>
      </c>
      <c r="B12" s="66">
        <v>2024</v>
      </c>
      <c r="C12" s="65">
        <v>121</v>
      </c>
      <c r="D12" s="65" t="s">
        <v>44</v>
      </c>
      <c r="E12" s="65" t="s">
        <v>115</v>
      </c>
      <c r="F12" s="72" t="s">
        <v>179</v>
      </c>
      <c r="G12" s="72" t="s">
        <v>173</v>
      </c>
      <c r="H12" s="72" t="s">
        <v>176</v>
      </c>
      <c r="I12" s="75" t="s">
        <v>45</v>
      </c>
      <c r="J12" s="76">
        <v>45473</v>
      </c>
      <c r="K12" s="79" t="s">
        <v>264</v>
      </c>
      <c r="L12" s="77" t="s">
        <v>260</v>
      </c>
      <c r="M12" s="69">
        <v>45473</v>
      </c>
      <c r="N12" s="69">
        <v>45473</v>
      </c>
      <c r="O12" s="66"/>
    </row>
    <row r="13" spans="1:15" x14ac:dyDescent="0.25">
      <c r="A13" s="63" t="s">
        <v>111</v>
      </c>
      <c r="B13" s="66">
        <v>2024</v>
      </c>
      <c r="C13" s="65">
        <v>121</v>
      </c>
      <c r="D13" s="65" t="s">
        <v>44</v>
      </c>
      <c r="E13" s="65" t="s">
        <v>116</v>
      </c>
      <c r="F13" s="72" t="s">
        <v>180</v>
      </c>
      <c r="G13" s="72" t="s">
        <v>173</v>
      </c>
      <c r="H13" s="72" t="s">
        <v>176</v>
      </c>
      <c r="I13" s="75" t="s">
        <v>45</v>
      </c>
      <c r="J13" s="76">
        <v>45473</v>
      </c>
      <c r="K13" s="79" t="s">
        <v>110</v>
      </c>
      <c r="L13" s="77" t="s">
        <v>260</v>
      </c>
      <c r="M13" s="69">
        <v>45473</v>
      </c>
      <c r="N13" s="69">
        <v>45473</v>
      </c>
      <c r="O13" s="66"/>
    </row>
    <row r="14" spans="1:15" x14ac:dyDescent="0.25">
      <c r="A14" s="63" t="s">
        <v>111</v>
      </c>
      <c r="B14" s="66">
        <v>2024</v>
      </c>
      <c r="C14" s="65">
        <v>121</v>
      </c>
      <c r="D14" s="65" t="s">
        <v>44</v>
      </c>
      <c r="E14" s="65" t="s">
        <v>117</v>
      </c>
      <c r="F14" s="72" t="s">
        <v>181</v>
      </c>
      <c r="G14" s="72" t="s">
        <v>173</v>
      </c>
      <c r="H14" s="72" t="s">
        <v>176</v>
      </c>
      <c r="I14" s="75" t="s">
        <v>45</v>
      </c>
      <c r="J14" s="76">
        <v>45473</v>
      </c>
      <c r="K14" s="79" t="s">
        <v>110</v>
      </c>
      <c r="L14" s="77" t="s">
        <v>260</v>
      </c>
      <c r="M14" s="69">
        <v>45473</v>
      </c>
      <c r="N14" s="69">
        <v>45473</v>
      </c>
      <c r="O14" s="66"/>
    </row>
    <row r="15" spans="1:15" x14ac:dyDescent="0.25">
      <c r="A15" s="63" t="s">
        <v>111</v>
      </c>
      <c r="B15" s="66">
        <v>2024</v>
      </c>
      <c r="C15" s="65">
        <v>121</v>
      </c>
      <c r="D15" s="65" t="s">
        <v>44</v>
      </c>
      <c r="E15" s="65" t="s">
        <v>118</v>
      </c>
      <c r="F15" s="72" t="s">
        <v>182</v>
      </c>
      <c r="G15" s="72" t="s">
        <v>173</v>
      </c>
      <c r="H15" s="72" t="s">
        <v>176</v>
      </c>
      <c r="I15" s="75" t="s">
        <v>45</v>
      </c>
      <c r="J15" s="76">
        <v>45473</v>
      </c>
      <c r="K15" s="79" t="s">
        <v>110</v>
      </c>
      <c r="L15" s="77" t="s">
        <v>260</v>
      </c>
      <c r="M15" s="69">
        <v>45473</v>
      </c>
      <c r="N15" s="69">
        <v>45473</v>
      </c>
      <c r="O15" s="66"/>
    </row>
    <row r="16" spans="1:15" x14ac:dyDescent="0.25">
      <c r="A16" s="63" t="s">
        <v>111</v>
      </c>
      <c r="B16" s="66">
        <v>2024</v>
      </c>
      <c r="C16" s="65">
        <v>121</v>
      </c>
      <c r="D16" s="65" t="s">
        <v>44</v>
      </c>
      <c r="E16" s="65" t="s">
        <v>119</v>
      </c>
      <c r="F16" s="72" t="s">
        <v>183</v>
      </c>
      <c r="G16" s="72" t="s">
        <v>173</v>
      </c>
      <c r="H16" s="72" t="s">
        <v>176</v>
      </c>
      <c r="I16" s="75" t="s">
        <v>45</v>
      </c>
      <c r="J16" s="76">
        <v>45473</v>
      </c>
      <c r="K16" s="77" t="s">
        <v>260</v>
      </c>
      <c r="L16" s="77" t="s">
        <v>260</v>
      </c>
      <c r="M16" s="69">
        <v>45473</v>
      </c>
      <c r="N16" s="69">
        <v>45473</v>
      </c>
      <c r="O16" s="66"/>
    </row>
    <row r="17" spans="1:15" x14ac:dyDescent="0.25">
      <c r="A17" s="63" t="s">
        <v>111</v>
      </c>
      <c r="B17" s="66">
        <v>2024</v>
      </c>
      <c r="C17" s="65">
        <v>121</v>
      </c>
      <c r="D17" s="65" t="s">
        <v>44</v>
      </c>
      <c r="E17" s="65" t="s">
        <v>120</v>
      </c>
      <c r="F17" s="72" t="s">
        <v>184</v>
      </c>
      <c r="G17" s="72" t="s">
        <v>185</v>
      </c>
      <c r="H17" s="72" t="s">
        <v>185</v>
      </c>
      <c r="I17" s="75" t="s">
        <v>45</v>
      </c>
      <c r="J17" s="76">
        <v>45473</v>
      </c>
      <c r="K17" s="77" t="s">
        <v>185</v>
      </c>
      <c r="L17" s="79" t="s">
        <v>265</v>
      </c>
      <c r="M17" s="69">
        <v>45473</v>
      </c>
      <c r="N17" s="69">
        <v>45473</v>
      </c>
      <c r="O17" s="66"/>
    </row>
    <row r="18" spans="1:15" x14ac:dyDescent="0.25">
      <c r="A18" s="63" t="s">
        <v>111</v>
      </c>
      <c r="B18" s="66">
        <v>2024</v>
      </c>
      <c r="C18" s="65">
        <v>121</v>
      </c>
      <c r="D18" s="65" t="s">
        <v>44</v>
      </c>
      <c r="E18" s="65" t="s">
        <v>121</v>
      </c>
      <c r="F18" s="72" t="s">
        <v>186</v>
      </c>
      <c r="G18" s="72" t="s">
        <v>185</v>
      </c>
      <c r="H18" s="72" t="s">
        <v>185</v>
      </c>
      <c r="I18" s="75" t="s">
        <v>45</v>
      </c>
      <c r="J18" s="76">
        <v>45473</v>
      </c>
      <c r="K18" s="77" t="s">
        <v>185</v>
      </c>
      <c r="L18" s="77" t="s">
        <v>185</v>
      </c>
      <c r="M18" s="69">
        <v>45473</v>
      </c>
      <c r="N18" s="69">
        <v>45473</v>
      </c>
      <c r="O18" s="66"/>
    </row>
    <row r="19" spans="1:15" x14ac:dyDescent="0.25">
      <c r="A19" s="63" t="s">
        <v>111</v>
      </c>
      <c r="B19" s="66">
        <v>2024</v>
      </c>
      <c r="C19" s="65">
        <v>121</v>
      </c>
      <c r="D19" s="65" t="s">
        <v>44</v>
      </c>
      <c r="E19" s="65" t="s">
        <v>122</v>
      </c>
      <c r="F19" s="72" t="s">
        <v>187</v>
      </c>
      <c r="G19" s="72" t="s">
        <v>185</v>
      </c>
      <c r="H19" s="72" t="s">
        <v>185</v>
      </c>
      <c r="I19" s="75" t="s">
        <v>45</v>
      </c>
      <c r="J19" s="76">
        <v>45473</v>
      </c>
      <c r="K19" s="77" t="s">
        <v>185</v>
      </c>
      <c r="L19" s="77" t="s">
        <v>185</v>
      </c>
      <c r="M19" s="69">
        <v>45473</v>
      </c>
      <c r="N19" s="69">
        <v>45473</v>
      </c>
      <c r="O19" s="66"/>
    </row>
    <row r="20" spans="1:15" x14ac:dyDescent="0.25">
      <c r="A20" s="63" t="s">
        <v>111</v>
      </c>
      <c r="B20" s="66">
        <v>2024</v>
      </c>
      <c r="C20" s="65">
        <v>121</v>
      </c>
      <c r="D20" s="65" t="s">
        <v>44</v>
      </c>
      <c r="E20" s="65" t="s">
        <v>123</v>
      </c>
      <c r="F20" s="72" t="s">
        <v>188</v>
      </c>
      <c r="G20" s="72" t="s">
        <v>185</v>
      </c>
      <c r="H20" s="72" t="s">
        <v>185</v>
      </c>
      <c r="I20" s="75" t="s">
        <v>45</v>
      </c>
      <c r="J20" s="76">
        <v>45473</v>
      </c>
      <c r="K20" s="77" t="s">
        <v>185</v>
      </c>
      <c r="L20" s="77" t="s">
        <v>185</v>
      </c>
      <c r="M20" s="69">
        <v>45473</v>
      </c>
      <c r="N20" s="69">
        <v>45473</v>
      </c>
      <c r="O20" s="66"/>
    </row>
    <row r="21" spans="1:15" x14ac:dyDescent="0.25">
      <c r="A21" s="63" t="s">
        <v>111</v>
      </c>
      <c r="B21" s="66">
        <v>2024</v>
      </c>
      <c r="C21" s="65">
        <v>121</v>
      </c>
      <c r="D21" s="65" t="s">
        <v>44</v>
      </c>
      <c r="E21" s="65" t="s">
        <v>124</v>
      </c>
      <c r="F21" s="72" t="s">
        <v>189</v>
      </c>
      <c r="G21" s="72" t="s">
        <v>173</v>
      </c>
      <c r="H21" s="72" t="s">
        <v>176</v>
      </c>
      <c r="I21" s="75" t="s">
        <v>45</v>
      </c>
      <c r="J21" s="76">
        <v>45473</v>
      </c>
      <c r="K21" s="77" t="s">
        <v>260</v>
      </c>
      <c r="L21" s="77" t="s">
        <v>260</v>
      </c>
      <c r="M21" s="69">
        <v>45473</v>
      </c>
      <c r="N21" s="69">
        <v>45473</v>
      </c>
      <c r="O21" s="66"/>
    </row>
    <row r="22" spans="1:15" x14ac:dyDescent="0.25">
      <c r="A22" s="63" t="s">
        <v>111</v>
      </c>
      <c r="B22" s="66">
        <v>2024</v>
      </c>
      <c r="C22" s="65">
        <v>121</v>
      </c>
      <c r="D22" s="65" t="s">
        <v>44</v>
      </c>
      <c r="E22" s="65" t="s">
        <v>125</v>
      </c>
      <c r="F22" s="72" t="s">
        <v>190</v>
      </c>
      <c r="G22" s="72" t="s">
        <v>173</v>
      </c>
      <c r="H22" s="72" t="s">
        <v>176</v>
      </c>
      <c r="I22" s="75" t="s">
        <v>45</v>
      </c>
      <c r="J22" s="76">
        <v>45473</v>
      </c>
      <c r="K22" s="77" t="s">
        <v>260</v>
      </c>
      <c r="L22" s="77" t="s">
        <v>260</v>
      </c>
      <c r="M22" s="69">
        <v>45473</v>
      </c>
      <c r="N22" s="69">
        <v>45473</v>
      </c>
      <c r="O22" s="66"/>
    </row>
    <row r="23" spans="1:15" x14ac:dyDescent="0.25">
      <c r="A23" s="63" t="s">
        <v>111</v>
      </c>
      <c r="B23" s="66">
        <v>2024</v>
      </c>
      <c r="C23" s="65">
        <v>121</v>
      </c>
      <c r="D23" s="65" t="s">
        <v>44</v>
      </c>
      <c r="E23" s="65" t="s">
        <v>126</v>
      </c>
      <c r="F23" s="72" t="s">
        <v>191</v>
      </c>
      <c r="G23" s="72" t="s">
        <v>185</v>
      </c>
      <c r="H23" s="72" t="s">
        <v>185</v>
      </c>
      <c r="I23" s="75" t="s">
        <v>45</v>
      </c>
      <c r="J23" s="76">
        <v>45473</v>
      </c>
      <c r="K23" s="77" t="s">
        <v>185</v>
      </c>
      <c r="L23" s="77" t="s">
        <v>185</v>
      </c>
      <c r="M23" s="69">
        <v>45473</v>
      </c>
      <c r="N23" s="69">
        <v>45473</v>
      </c>
      <c r="O23" s="66"/>
    </row>
    <row r="24" spans="1:15" x14ac:dyDescent="0.25">
      <c r="A24" s="63" t="s">
        <v>111</v>
      </c>
      <c r="B24" s="66">
        <v>2024</v>
      </c>
      <c r="C24" s="65">
        <v>121</v>
      </c>
      <c r="D24" s="65" t="s">
        <v>44</v>
      </c>
      <c r="E24" s="65" t="s">
        <v>127</v>
      </c>
      <c r="F24" s="72" t="s">
        <v>192</v>
      </c>
      <c r="G24" s="72" t="s">
        <v>185</v>
      </c>
      <c r="H24" s="72" t="s">
        <v>185</v>
      </c>
      <c r="I24" s="75" t="s">
        <v>45</v>
      </c>
      <c r="J24" s="76">
        <v>45473</v>
      </c>
      <c r="K24" s="77" t="s">
        <v>185</v>
      </c>
      <c r="L24" s="77" t="s">
        <v>185</v>
      </c>
      <c r="M24" s="69">
        <v>45473</v>
      </c>
      <c r="N24" s="69">
        <v>45473</v>
      </c>
      <c r="O24" s="66"/>
    </row>
    <row r="25" spans="1:15" x14ac:dyDescent="0.25">
      <c r="A25" s="63" t="s">
        <v>111</v>
      </c>
      <c r="B25" s="66">
        <v>2024</v>
      </c>
      <c r="C25" s="65">
        <v>121</v>
      </c>
      <c r="D25" s="65" t="s">
        <v>44</v>
      </c>
      <c r="E25" s="65" t="s">
        <v>128</v>
      </c>
      <c r="F25" s="72" t="s">
        <v>193</v>
      </c>
      <c r="G25" s="72" t="s">
        <v>185</v>
      </c>
      <c r="H25" s="72" t="s">
        <v>185</v>
      </c>
      <c r="I25" s="75" t="s">
        <v>45</v>
      </c>
      <c r="J25" s="76">
        <v>45473</v>
      </c>
      <c r="K25" s="77" t="s">
        <v>185</v>
      </c>
      <c r="L25" s="77" t="s">
        <v>185</v>
      </c>
      <c r="M25" s="69">
        <v>45473</v>
      </c>
      <c r="N25" s="69">
        <v>45473</v>
      </c>
      <c r="O25" s="66"/>
    </row>
    <row r="26" spans="1:15" x14ac:dyDescent="0.25">
      <c r="A26" s="63" t="s">
        <v>111</v>
      </c>
      <c r="B26" s="66">
        <v>2024</v>
      </c>
      <c r="C26" s="65">
        <v>121</v>
      </c>
      <c r="D26" s="65" t="s">
        <v>44</v>
      </c>
      <c r="E26" s="65" t="s">
        <v>129</v>
      </c>
      <c r="F26" s="72" t="s">
        <v>194</v>
      </c>
      <c r="G26" s="72" t="s">
        <v>173</v>
      </c>
      <c r="H26" s="72" t="s">
        <v>176</v>
      </c>
      <c r="I26" s="75" t="s">
        <v>45</v>
      </c>
      <c r="J26" s="76">
        <v>45473</v>
      </c>
      <c r="K26" s="77" t="s">
        <v>260</v>
      </c>
      <c r="L26" s="77" t="s">
        <v>260</v>
      </c>
      <c r="M26" s="69">
        <v>45473</v>
      </c>
      <c r="N26" s="69">
        <v>45473</v>
      </c>
      <c r="O26" s="66"/>
    </row>
    <row r="27" spans="1:15" x14ac:dyDescent="0.25">
      <c r="A27" s="63" t="s">
        <v>111</v>
      </c>
      <c r="B27" s="66">
        <v>2024</v>
      </c>
      <c r="C27" s="65">
        <v>121</v>
      </c>
      <c r="D27" s="65" t="s">
        <v>44</v>
      </c>
      <c r="E27" s="65" t="s">
        <v>130</v>
      </c>
      <c r="F27" s="72" t="s">
        <v>195</v>
      </c>
      <c r="G27" s="72" t="s">
        <v>173</v>
      </c>
      <c r="H27" s="72" t="s">
        <v>176</v>
      </c>
      <c r="I27" s="75" t="s">
        <v>45</v>
      </c>
      <c r="J27" s="76">
        <v>45473</v>
      </c>
      <c r="K27" s="77" t="s">
        <v>260</v>
      </c>
      <c r="L27" s="77" t="s">
        <v>260</v>
      </c>
      <c r="M27" s="69">
        <v>45473</v>
      </c>
      <c r="N27" s="69">
        <v>45473</v>
      </c>
      <c r="O27" s="66"/>
    </row>
    <row r="28" spans="1:15" x14ac:dyDescent="0.25">
      <c r="A28" s="63" t="s">
        <v>111</v>
      </c>
      <c r="B28" s="66">
        <v>2024</v>
      </c>
      <c r="C28" s="65">
        <v>121</v>
      </c>
      <c r="D28" s="65" t="s">
        <v>44</v>
      </c>
      <c r="E28" s="65" t="s">
        <v>131</v>
      </c>
      <c r="F28" s="72" t="s">
        <v>196</v>
      </c>
      <c r="G28" s="72" t="s">
        <v>185</v>
      </c>
      <c r="H28" s="72" t="s">
        <v>185</v>
      </c>
      <c r="I28" s="75" t="s">
        <v>45</v>
      </c>
      <c r="J28" s="76">
        <v>45473</v>
      </c>
      <c r="K28" s="77" t="s">
        <v>185</v>
      </c>
      <c r="L28" s="77" t="s">
        <v>185</v>
      </c>
      <c r="M28" s="69">
        <v>45473</v>
      </c>
      <c r="N28" s="69">
        <v>45473</v>
      </c>
      <c r="O28" s="66"/>
    </row>
    <row r="29" spans="1:15" x14ac:dyDescent="0.25">
      <c r="A29" s="63" t="s">
        <v>111</v>
      </c>
      <c r="B29" s="66">
        <v>2024</v>
      </c>
      <c r="C29" s="65">
        <v>121</v>
      </c>
      <c r="D29" s="65" t="s">
        <v>44</v>
      </c>
      <c r="E29" s="65" t="s">
        <v>132</v>
      </c>
      <c r="F29" s="72" t="s">
        <v>197</v>
      </c>
      <c r="G29" s="72" t="s">
        <v>185</v>
      </c>
      <c r="H29" s="72" t="s">
        <v>185</v>
      </c>
      <c r="I29" s="75" t="s">
        <v>45</v>
      </c>
      <c r="J29" s="76">
        <v>45473</v>
      </c>
      <c r="K29" s="72" t="s">
        <v>185</v>
      </c>
      <c r="L29" s="72" t="s">
        <v>185</v>
      </c>
      <c r="M29" s="69">
        <v>45473</v>
      </c>
      <c r="N29" s="69">
        <v>45473</v>
      </c>
      <c r="O29" s="66"/>
    </row>
    <row r="30" spans="1:15" x14ac:dyDescent="0.25">
      <c r="A30" s="63" t="s">
        <v>111</v>
      </c>
      <c r="B30" s="66">
        <v>2024</v>
      </c>
      <c r="C30" s="65">
        <v>121</v>
      </c>
      <c r="D30" s="65" t="s">
        <v>44</v>
      </c>
      <c r="E30" s="65" t="s">
        <v>133</v>
      </c>
      <c r="F30" s="72" t="s">
        <v>198</v>
      </c>
      <c r="G30" s="72" t="s">
        <v>185</v>
      </c>
      <c r="H30" s="72" t="s">
        <v>185</v>
      </c>
      <c r="I30" s="75" t="s">
        <v>45</v>
      </c>
      <c r="J30" s="76">
        <v>45473</v>
      </c>
      <c r="K30" s="77" t="s">
        <v>185</v>
      </c>
      <c r="L30" s="77" t="s">
        <v>185</v>
      </c>
      <c r="M30" s="69">
        <v>45473</v>
      </c>
      <c r="N30" s="69">
        <v>45473</v>
      </c>
      <c r="O30" s="66"/>
    </row>
    <row r="31" spans="1:15" x14ac:dyDescent="0.25">
      <c r="A31" s="63" t="s">
        <v>111</v>
      </c>
      <c r="B31" s="66">
        <v>2024</v>
      </c>
      <c r="C31" s="65">
        <v>121</v>
      </c>
      <c r="D31" s="65" t="s">
        <v>44</v>
      </c>
      <c r="E31" s="65" t="s">
        <v>134</v>
      </c>
      <c r="F31" s="72" t="s">
        <v>199</v>
      </c>
      <c r="G31" s="72" t="s">
        <v>185</v>
      </c>
      <c r="H31" s="72" t="s">
        <v>185</v>
      </c>
      <c r="I31" s="75" t="s">
        <v>45</v>
      </c>
      <c r="J31" s="76">
        <v>45473</v>
      </c>
      <c r="K31" s="77" t="s">
        <v>185</v>
      </c>
      <c r="L31" s="77" t="s">
        <v>185</v>
      </c>
      <c r="M31" s="69">
        <v>45473</v>
      </c>
      <c r="N31" s="69">
        <v>45473</v>
      </c>
      <c r="O31" s="66"/>
    </row>
    <row r="32" spans="1:15" x14ac:dyDescent="0.25">
      <c r="A32" s="63" t="s">
        <v>111</v>
      </c>
      <c r="B32" s="66">
        <v>2024</v>
      </c>
      <c r="C32" s="65">
        <v>121</v>
      </c>
      <c r="D32" s="65" t="s">
        <v>44</v>
      </c>
      <c r="E32" s="65" t="s">
        <v>135</v>
      </c>
      <c r="F32" s="72" t="s">
        <v>200</v>
      </c>
      <c r="G32" s="72" t="s">
        <v>185</v>
      </c>
      <c r="H32" s="72" t="s">
        <v>185</v>
      </c>
      <c r="I32" s="75" t="s">
        <v>45</v>
      </c>
      <c r="J32" s="76">
        <v>45473</v>
      </c>
      <c r="K32" s="72" t="s">
        <v>185</v>
      </c>
      <c r="L32" s="72" t="s">
        <v>185</v>
      </c>
      <c r="M32" s="69">
        <v>45473</v>
      </c>
      <c r="N32" s="69">
        <v>45473</v>
      </c>
      <c r="O32" s="66"/>
    </row>
    <row r="33" spans="1:15" x14ac:dyDescent="0.25">
      <c r="A33" s="63" t="s">
        <v>111</v>
      </c>
      <c r="B33" s="66">
        <v>2024</v>
      </c>
      <c r="C33" s="65">
        <v>121</v>
      </c>
      <c r="D33" s="65" t="s">
        <v>44</v>
      </c>
      <c r="E33" s="65" t="s">
        <v>136</v>
      </c>
      <c r="F33" s="72" t="s">
        <v>201</v>
      </c>
      <c r="G33" s="72" t="s">
        <v>185</v>
      </c>
      <c r="H33" s="72" t="s">
        <v>185</v>
      </c>
      <c r="I33" s="75" t="s">
        <v>45</v>
      </c>
      <c r="J33" s="76">
        <v>45473</v>
      </c>
      <c r="K33" s="77" t="s">
        <v>185</v>
      </c>
      <c r="L33" s="72" t="s">
        <v>185</v>
      </c>
      <c r="M33" s="69">
        <v>45473</v>
      </c>
      <c r="N33" s="69">
        <v>45473</v>
      </c>
      <c r="O33" s="66"/>
    </row>
    <row r="34" spans="1:15" x14ac:dyDescent="0.25">
      <c r="A34" s="63" t="s">
        <v>111</v>
      </c>
      <c r="B34" s="66">
        <v>2024</v>
      </c>
      <c r="C34" s="65">
        <v>121</v>
      </c>
      <c r="D34" s="65" t="s">
        <v>44</v>
      </c>
      <c r="E34" s="65" t="s">
        <v>137</v>
      </c>
      <c r="F34" s="72" t="s">
        <v>202</v>
      </c>
      <c r="G34" s="72" t="s">
        <v>173</v>
      </c>
      <c r="H34" s="72" t="s">
        <v>176</v>
      </c>
      <c r="I34" s="75" t="s">
        <v>45</v>
      </c>
      <c r="J34" s="76">
        <v>45473</v>
      </c>
      <c r="K34" s="79" t="s">
        <v>262</v>
      </c>
      <c r="L34" s="77" t="s">
        <v>260</v>
      </c>
      <c r="M34" s="69">
        <v>45473</v>
      </c>
      <c r="N34" s="69">
        <v>45473</v>
      </c>
      <c r="O34" s="66"/>
    </row>
    <row r="35" spans="1:15" x14ac:dyDescent="0.25">
      <c r="A35" s="63" t="s">
        <v>111</v>
      </c>
      <c r="B35" s="66">
        <v>2024</v>
      </c>
      <c r="C35" s="65">
        <v>121</v>
      </c>
      <c r="D35" s="65" t="s">
        <v>44</v>
      </c>
      <c r="E35" s="65" t="s">
        <v>138</v>
      </c>
      <c r="F35" s="72" t="s">
        <v>203</v>
      </c>
      <c r="G35" s="72" t="s">
        <v>185</v>
      </c>
      <c r="H35" s="72" t="s">
        <v>185</v>
      </c>
      <c r="I35" s="75" t="s">
        <v>45</v>
      </c>
      <c r="J35" s="76">
        <v>45473</v>
      </c>
      <c r="K35" s="77" t="s">
        <v>185</v>
      </c>
      <c r="L35" s="72" t="s">
        <v>185</v>
      </c>
      <c r="M35" s="69">
        <v>45473</v>
      </c>
      <c r="N35" s="69">
        <v>45473</v>
      </c>
      <c r="O35" s="66"/>
    </row>
    <row r="36" spans="1:15" x14ac:dyDescent="0.25">
      <c r="A36" s="63" t="s">
        <v>111</v>
      </c>
      <c r="B36" s="66">
        <v>2024</v>
      </c>
      <c r="C36" s="65">
        <v>121</v>
      </c>
      <c r="D36" s="65" t="s">
        <v>44</v>
      </c>
      <c r="E36" s="65" t="s">
        <v>139</v>
      </c>
      <c r="F36" s="72" t="s">
        <v>204</v>
      </c>
      <c r="G36" s="72" t="s">
        <v>173</v>
      </c>
      <c r="H36" s="72" t="s">
        <v>176</v>
      </c>
      <c r="I36" s="75" t="s">
        <v>45</v>
      </c>
      <c r="J36" s="76">
        <v>45473</v>
      </c>
      <c r="K36" s="79" t="s">
        <v>110</v>
      </c>
      <c r="L36" s="77" t="s">
        <v>260</v>
      </c>
      <c r="M36" s="69">
        <v>45473</v>
      </c>
      <c r="N36" s="69">
        <v>45473</v>
      </c>
      <c r="O36" s="66"/>
    </row>
    <row r="37" spans="1:15" x14ac:dyDescent="0.25">
      <c r="A37" s="63" t="s">
        <v>111</v>
      </c>
      <c r="B37" s="66">
        <v>2024</v>
      </c>
      <c r="C37" s="65">
        <v>121</v>
      </c>
      <c r="D37" s="65" t="s">
        <v>44</v>
      </c>
      <c r="E37" s="65" t="s">
        <v>140</v>
      </c>
      <c r="F37" s="72" t="s">
        <v>205</v>
      </c>
      <c r="G37" s="72" t="s">
        <v>185</v>
      </c>
      <c r="H37" s="72" t="s">
        <v>185</v>
      </c>
      <c r="I37" s="75" t="s">
        <v>45</v>
      </c>
      <c r="J37" s="76">
        <v>45473</v>
      </c>
      <c r="K37" s="72" t="s">
        <v>185</v>
      </c>
      <c r="L37" s="72" t="s">
        <v>185</v>
      </c>
      <c r="M37" s="69">
        <v>45473</v>
      </c>
      <c r="N37" s="69">
        <v>45473</v>
      </c>
      <c r="O37" s="66"/>
    </row>
    <row r="38" spans="1:15" x14ac:dyDescent="0.25">
      <c r="A38" s="63" t="s">
        <v>111</v>
      </c>
      <c r="B38" s="66">
        <v>2024</v>
      </c>
      <c r="C38" s="65">
        <v>121</v>
      </c>
      <c r="D38" s="65" t="s">
        <v>44</v>
      </c>
      <c r="E38" s="65" t="s">
        <v>141</v>
      </c>
      <c r="F38" s="72" t="s">
        <v>206</v>
      </c>
      <c r="G38" s="72" t="s">
        <v>185</v>
      </c>
      <c r="H38" s="72" t="s">
        <v>185</v>
      </c>
      <c r="I38" s="75" t="s">
        <v>45</v>
      </c>
      <c r="J38" s="76">
        <v>45473</v>
      </c>
      <c r="K38" s="77" t="s">
        <v>185</v>
      </c>
      <c r="L38" s="72" t="s">
        <v>185</v>
      </c>
      <c r="M38" s="69">
        <v>45473</v>
      </c>
      <c r="N38" s="69">
        <v>45473</v>
      </c>
      <c r="O38" s="66"/>
    </row>
    <row r="39" spans="1:15" x14ac:dyDescent="0.25">
      <c r="A39" s="63" t="s">
        <v>111</v>
      </c>
      <c r="B39" s="66">
        <v>2024</v>
      </c>
      <c r="C39" s="65">
        <v>121</v>
      </c>
      <c r="D39" s="65" t="s">
        <v>44</v>
      </c>
      <c r="E39" s="65" t="s">
        <v>142</v>
      </c>
      <c r="F39" s="72" t="s">
        <v>207</v>
      </c>
      <c r="G39" s="72" t="s">
        <v>173</v>
      </c>
      <c r="H39" s="72" t="s">
        <v>176</v>
      </c>
      <c r="I39" s="75" t="s">
        <v>45</v>
      </c>
      <c r="J39" s="76">
        <v>45473</v>
      </c>
      <c r="K39" s="79" t="s">
        <v>110</v>
      </c>
      <c r="L39" s="77" t="s">
        <v>260</v>
      </c>
      <c r="M39" s="69">
        <v>45473</v>
      </c>
      <c r="N39" s="69">
        <v>45473</v>
      </c>
      <c r="O39" s="66"/>
    </row>
    <row r="40" spans="1:15" x14ac:dyDescent="0.25">
      <c r="A40" s="63" t="s">
        <v>111</v>
      </c>
      <c r="B40" s="66">
        <v>2024</v>
      </c>
      <c r="C40" s="65">
        <v>121</v>
      </c>
      <c r="D40" s="65" t="s">
        <v>44</v>
      </c>
      <c r="E40" s="65" t="s">
        <v>143</v>
      </c>
      <c r="F40" s="72" t="s">
        <v>208</v>
      </c>
      <c r="G40" s="72" t="s">
        <v>173</v>
      </c>
      <c r="H40" s="72" t="s">
        <v>176</v>
      </c>
      <c r="I40" s="75" t="s">
        <v>45</v>
      </c>
      <c r="J40" s="76">
        <v>45473</v>
      </c>
      <c r="K40" s="77" t="s">
        <v>260</v>
      </c>
      <c r="L40" s="77" t="s">
        <v>260</v>
      </c>
      <c r="M40" s="69">
        <v>45473</v>
      </c>
      <c r="N40" s="69">
        <v>45473</v>
      </c>
      <c r="O40" s="66"/>
    </row>
    <row r="41" spans="1:15" x14ac:dyDescent="0.25">
      <c r="A41" s="63" t="s">
        <v>111</v>
      </c>
      <c r="B41" s="66">
        <v>2024</v>
      </c>
      <c r="C41" s="65">
        <v>121</v>
      </c>
      <c r="D41" s="65" t="s">
        <v>44</v>
      </c>
      <c r="E41" s="65" t="s">
        <v>144</v>
      </c>
      <c r="F41" s="72" t="s">
        <v>209</v>
      </c>
      <c r="G41" s="72" t="s">
        <v>185</v>
      </c>
      <c r="H41" s="72" t="s">
        <v>185</v>
      </c>
      <c r="I41" s="75" t="s">
        <v>45</v>
      </c>
      <c r="J41" s="76">
        <v>45473</v>
      </c>
      <c r="K41" s="72" t="s">
        <v>185</v>
      </c>
      <c r="L41" s="72" t="s">
        <v>185</v>
      </c>
      <c r="M41" s="69">
        <v>45473</v>
      </c>
      <c r="N41" s="69">
        <v>45473</v>
      </c>
      <c r="O41" s="66"/>
    </row>
    <row r="42" spans="1:15" x14ac:dyDescent="0.25">
      <c r="A42" s="63" t="s">
        <v>111</v>
      </c>
      <c r="B42" s="66">
        <v>2024</v>
      </c>
      <c r="C42" s="65">
        <v>121</v>
      </c>
      <c r="D42" s="65" t="s">
        <v>44</v>
      </c>
      <c r="E42" s="65" t="s">
        <v>145</v>
      </c>
      <c r="F42" s="72" t="s">
        <v>210</v>
      </c>
      <c r="G42" s="72" t="s">
        <v>185</v>
      </c>
      <c r="H42" s="72" t="s">
        <v>185</v>
      </c>
      <c r="I42" s="75" t="s">
        <v>45</v>
      </c>
      <c r="J42" s="76">
        <v>45473</v>
      </c>
      <c r="K42" s="77" t="s">
        <v>185</v>
      </c>
      <c r="L42" s="72" t="s">
        <v>185</v>
      </c>
      <c r="M42" s="69">
        <v>45473</v>
      </c>
      <c r="N42" s="69">
        <v>45473</v>
      </c>
      <c r="O42" s="66"/>
    </row>
    <row r="43" spans="1:15" x14ac:dyDescent="0.25">
      <c r="A43" s="63" t="s">
        <v>111</v>
      </c>
      <c r="B43" s="66">
        <v>2024</v>
      </c>
      <c r="C43" s="65">
        <v>121</v>
      </c>
      <c r="D43" s="65" t="s">
        <v>44</v>
      </c>
      <c r="E43" s="65" t="s">
        <v>146</v>
      </c>
      <c r="F43" s="72" t="s">
        <v>211</v>
      </c>
      <c r="G43" s="72" t="s">
        <v>173</v>
      </c>
      <c r="H43" s="72" t="s">
        <v>176</v>
      </c>
      <c r="I43" s="75" t="s">
        <v>45</v>
      </c>
      <c r="J43" s="76">
        <v>45473</v>
      </c>
      <c r="K43" s="77" t="s">
        <v>260</v>
      </c>
      <c r="L43" s="77" t="s">
        <v>260</v>
      </c>
      <c r="M43" s="69">
        <v>45473</v>
      </c>
      <c r="N43" s="69">
        <v>45473</v>
      </c>
      <c r="O43" s="66"/>
    </row>
    <row r="44" spans="1:15" x14ac:dyDescent="0.25">
      <c r="A44" s="63" t="s">
        <v>111</v>
      </c>
      <c r="B44" s="66">
        <v>2024</v>
      </c>
      <c r="C44" s="65">
        <v>121</v>
      </c>
      <c r="D44" s="65" t="s">
        <v>44</v>
      </c>
      <c r="E44" s="65" t="s">
        <v>147</v>
      </c>
      <c r="F44" s="72" t="s">
        <v>212</v>
      </c>
      <c r="G44" s="72" t="s">
        <v>185</v>
      </c>
      <c r="H44" s="72" t="s">
        <v>185</v>
      </c>
      <c r="I44" s="75" t="s">
        <v>45</v>
      </c>
      <c r="J44" s="76">
        <v>45473</v>
      </c>
      <c r="K44" s="77" t="s">
        <v>185</v>
      </c>
      <c r="L44" s="72" t="s">
        <v>185</v>
      </c>
      <c r="M44" s="69">
        <v>45473</v>
      </c>
      <c r="N44" s="69">
        <v>45473</v>
      </c>
      <c r="O44" s="66"/>
    </row>
    <row r="45" spans="1:15" x14ac:dyDescent="0.25">
      <c r="A45" s="63" t="s">
        <v>111</v>
      </c>
      <c r="B45" s="66">
        <v>2024</v>
      </c>
      <c r="C45" s="65">
        <v>121</v>
      </c>
      <c r="D45" s="65" t="s">
        <v>44</v>
      </c>
      <c r="E45" s="65" t="s">
        <v>148</v>
      </c>
      <c r="F45" s="72" t="s">
        <v>213</v>
      </c>
      <c r="G45" s="72" t="s">
        <v>173</v>
      </c>
      <c r="H45" s="72" t="s">
        <v>176</v>
      </c>
      <c r="I45" s="75" t="s">
        <v>45</v>
      </c>
      <c r="J45" s="76">
        <v>45473</v>
      </c>
      <c r="K45" s="77" t="s">
        <v>260</v>
      </c>
      <c r="L45" s="77" t="s">
        <v>260</v>
      </c>
      <c r="M45" s="69">
        <v>45473</v>
      </c>
      <c r="N45" s="69">
        <v>45473</v>
      </c>
      <c r="O45" s="66"/>
    </row>
    <row r="46" spans="1:15" x14ac:dyDescent="0.25">
      <c r="A46" s="63" t="s">
        <v>111</v>
      </c>
      <c r="B46" s="66">
        <v>2024</v>
      </c>
      <c r="C46" s="65">
        <v>121</v>
      </c>
      <c r="D46" s="65" t="s">
        <v>44</v>
      </c>
      <c r="E46" s="65" t="s">
        <v>149</v>
      </c>
      <c r="F46" s="72" t="s">
        <v>214</v>
      </c>
      <c r="G46" s="72" t="s">
        <v>173</v>
      </c>
      <c r="H46" s="72" t="s">
        <v>176</v>
      </c>
      <c r="I46" s="75" t="s">
        <v>45</v>
      </c>
      <c r="J46" s="76">
        <v>45473</v>
      </c>
      <c r="K46" s="77" t="s">
        <v>260</v>
      </c>
      <c r="L46" s="77" t="s">
        <v>260</v>
      </c>
      <c r="M46" s="69">
        <v>45473</v>
      </c>
      <c r="N46" s="69">
        <v>45473</v>
      </c>
      <c r="O46" s="66"/>
    </row>
    <row r="47" spans="1:15" x14ac:dyDescent="0.25">
      <c r="A47" s="63" t="s">
        <v>111</v>
      </c>
      <c r="B47" s="66">
        <v>2024</v>
      </c>
      <c r="C47" s="65">
        <v>121</v>
      </c>
      <c r="D47" s="65" t="s">
        <v>44</v>
      </c>
      <c r="E47" s="65" t="s">
        <v>150</v>
      </c>
      <c r="F47" s="72" t="s">
        <v>215</v>
      </c>
      <c r="G47" s="72" t="s">
        <v>185</v>
      </c>
      <c r="H47" s="72" t="s">
        <v>185</v>
      </c>
      <c r="I47" s="75" t="s">
        <v>45</v>
      </c>
      <c r="J47" s="76">
        <v>45473</v>
      </c>
      <c r="K47" s="77" t="s">
        <v>185</v>
      </c>
      <c r="L47" s="72" t="s">
        <v>185</v>
      </c>
      <c r="M47" s="69">
        <v>45473</v>
      </c>
      <c r="N47" s="69">
        <v>45473</v>
      </c>
      <c r="O47" s="66"/>
    </row>
    <row r="48" spans="1:15" x14ac:dyDescent="0.25">
      <c r="A48" s="63" t="s">
        <v>111</v>
      </c>
      <c r="B48" s="66">
        <v>2024</v>
      </c>
      <c r="C48" s="65">
        <v>121</v>
      </c>
      <c r="D48" s="65" t="s">
        <v>44</v>
      </c>
      <c r="E48" s="65" t="s">
        <v>151</v>
      </c>
      <c r="F48" s="72" t="s">
        <v>216</v>
      </c>
      <c r="G48" s="72" t="s">
        <v>173</v>
      </c>
      <c r="H48" s="72" t="s">
        <v>176</v>
      </c>
      <c r="I48" s="75" t="s">
        <v>45</v>
      </c>
      <c r="J48" s="76">
        <v>45473</v>
      </c>
      <c r="K48" s="77" t="s">
        <v>260</v>
      </c>
      <c r="L48" s="77" t="s">
        <v>260</v>
      </c>
      <c r="M48" s="69">
        <v>45473</v>
      </c>
      <c r="N48" s="69">
        <v>45473</v>
      </c>
      <c r="O48" s="66"/>
    </row>
    <row r="49" spans="1:15" x14ac:dyDescent="0.25">
      <c r="A49" s="63" t="s">
        <v>111</v>
      </c>
      <c r="B49" s="66">
        <v>2024</v>
      </c>
      <c r="C49" s="65">
        <v>121</v>
      </c>
      <c r="D49" s="65" t="s">
        <v>44</v>
      </c>
      <c r="E49" s="65" t="s">
        <v>152</v>
      </c>
      <c r="F49" s="72" t="s">
        <v>217</v>
      </c>
      <c r="G49" s="72" t="s">
        <v>173</v>
      </c>
      <c r="H49" s="72" t="s">
        <v>176</v>
      </c>
      <c r="I49" s="75" t="s">
        <v>45</v>
      </c>
      <c r="J49" s="76">
        <v>45473</v>
      </c>
      <c r="K49" s="77" t="s">
        <v>260</v>
      </c>
      <c r="L49" s="77" t="s">
        <v>260</v>
      </c>
      <c r="M49" s="69">
        <v>45473</v>
      </c>
      <c r="N49" s="69">
        <v>45473</v>
      </c>
      <c r="O49" s="66"/>
    </row>
    <row r="50" spans="1:15" x14ac:dyDescent="0.25">
      <c r="A50" s="63" t="s">
        <v>111</v>
      </c>
      <c r="B50" s="66">
        <v>2024</v>
      </c>
      <c r="C50" s="65">
        <v>121</v>
      </c>
      <c r="D50" s="65" t="s">
        <v>44</v>
      </c>
      <c r="E50" s="65" t="s">
        <v>153</v>
      </c>
      <c r="F50" s="72" t="s">
        <v>218</v>
      </c>
      <c r="G50" s="72" t="s">
        <v>185</v>
      </c>
      <c r="H50" s="72" t="s">
        <v>185</v>
      </c>
      <c r="I50" s="75" t="s">
        <v>45</v>
      </c>
      <c r="J50" s="76">
        <v>45473</v>
      </c>
      <c r="K50" s="77" t="s">
        <v>185</v>
      </c>
      <c r="L50" s="72" t="s">
        <v>185</v>
      </c>
      <c r="M50" s="69">
        <v>45473</v>
      </c>
      <c r="N50" s="69">
        <v>45473</v>
      </c>
      <c r="O50" s="66"/>
    </row>
    <row r="51" spans="1:15" x14ac:dyDescent="0.25">
      <c r="A51" s="63" t="s">
        <v>111</v>
      </c>
      <c r="B51" s="66">
        <v>2024</v>
      </c>
      <c r="C51" s="65">
        <v>121</v>
      </c>
      <c r="D51" s="65" t="s">
        <v>44</v>
      </c>
      <c r="E51" s="65" t="s">
        <v>154</v>
      </c>
      <c r="F51" s="72" t="s">
        <v>219</v>
      </c>
      <c r="G51" s="72" t="s">
        <v>173</v>
      </c>
      <c r="H51" s="72" t="s">
        <v>176</v>
      </c>
      <c r="I51" s="75" t="s">
        <v>45</v>
      </c>
      <c r="J51" s="76">
        <v>45473</v>
      </c>
      <c r="K51" s="77" t="s">
        <v>260</v>
      </c>
      <c r="L51" s="77" t="s">
        <v>260</v>
      </c>
      <c r="M51" s="69">
        <v>45473</v>
      </c>
      <c r="N51" s="69">
        <v>45473</v>
      </c>
      <c r="O51" s="66"/>
    </row>
    <row r="52" spans="1:15" x14ac:dyDescent="0.25">
      <c r="A52" s="63" t="s">
        <v>111</v>
      </c>
      <c r="B52" s="66">
        <v>2024</v>
      </c>
      <c r="C52" s="65">
        <v>121</v>
      </c>
      <c r="D52" s="65" t="s">
        <v>44</v>
      </c>
      <c r="E52" s="65" t="s">
        <v>155</v>
      </c>
      <c r="F52" s="72" t="s">
        <v>220</v>
      </c>
      <c r="G52" s="72" t="s">
        <v>221</v>
      </c>
      <c r="H52" s="72" t="s">
        <v>176</v>
      </c>
      <c r="I52" s="75" t="s">
        <v>45</v>
      </c>
      <c r="J52" s="76">
        <v>45473</v>
      </c>
      <c r="K52" s="77" t="s">
        <v>260</v>
      </c>
      <c r="L52" s="77" t="s">
        <v>260</v>
      </c>
      <c r="M52" s="69">
        <v>45473</v>
      </c>
      <c r="N52" s="69">
        <v>45473</v>
      </c>
      <c r="O52" s="66"/>
    </row>
    <row r="53" spans="1:15" x14ac:dyDescent="0.25">
      <c r="A53" s="63" t="s">
        <v>111</v>
      </c>
      <c r="B53" s="66">
        <v>2024</v>
      </c>
      <c r="C53" s="65">
        <v>121</v>
      </c>
      <c r="D53" s="65" t="s">
        <v>44</v>
      </c>
      <c r="E53" s="65" t="s">
        <v>156</v>
      </c>
      <c r="F53" s="72" t="s">
        <v>222</v>
      </c>
      <c r="G53" s="72" t="s">
        <v>173</v>
      </c>
      <c r="H53" s="72" t="s">
        <v>176</v>
      </c>
      <c r="I53" s="75" t="s">
        <v>45</v>
      </c>
      <c r="J53" s="76">
        <v>45473</v>
      </c>
      <c r="K53" s="77" t="s">
        <v>260</v>
      </c>
      <c r="L53" s="77" t="s">
        <v>260</v>
      </c>
      <c r="M53" s="69">
        <v>45473</v>
      </c>
      <c r="N53" s="69">
        <v>45473</v>
      </c>
      <c r="O53" s="66"/>
    </row>
    <row r="54" spans="1:15" x14ac:dyDescent="0.25">
      <c r="A54" s="63" t="s">
        <v>111</v>
      </c>
      <c r="B54" s="66">
        <v>2024</v>
      </c>
      <c r="C54" s="65">
        <v>121</v>
      </c>
      <c r="D54" s="65" t="s">
        <v>44</v>
      </c>
      <c r="E54" s="65" t="s">
        <v>157</v>
      </c>
      <c r="F54" s="72" t="s">
        <v>223</v>
      </c>
      <c r="G54" s="72" t="s">
        <v>185</v>
      </c>
      <c r="H54" s="72" t="s">
        <v>185</v>
      </c>
      <c r="I54" s="75" t="s">
        <v>45</v>
      </c>
      <c r="J54" s="76">
        <v>45473</v>
      </c>
      <c r="K54" s="77" t="s">
        <v>185</v>
      </c>
      <c r="L54" s="72" t="s">
        <v>185</v>
      </c>
      <c r="M54" s="69">
        <v>45473</v>
      </c>
      <c r="N54" s="69">
        <v>45473</v>
      </c>
      <c r="O54" s="66"/>
    </row>
    <row r="55" spans="1:15" x14ac:dyDescent="0.25">
      <c r="A55" s="63" t="s">
        <v>111</v>
      </c>
      <c r="B55" s="66">
        <v>2024</v>
      </c>
      <c r="C55" s="65">
        <v>121</v>
      </c>
      <c r="D55" s="65" t="s">
        <v>44</v>
      </c>
      <c r="E55" s="65" t="s">
        <v>158</v>
      </c>
      <c r="F55" s="72" t="s">
        <v>224</v>
      </c>
      <c r="G55" s="72" t="s">
        <v>185</v>
      </c>
      <c r="H55" s="72" t="s">
        <v>185</v>
      </c>
      <c r="I55" s="75" t="s">
        <v>45</v>
      </c>
      <c r="J55" s="76">
        <v>45473</v>
      </c>
      <c r="K55" s="72" t="s">
        <v>185</v>
      </c>
      <c r="L55" s="72" t="s">
        <v>185</v>
      </c>
      <c r="M55" s="69">
        <v>45473</v>
      </c>
      <c r="N55" s="69">
        <v>45473</v>
      </c>
      <c r="O55" s="66"/>
    </row>
    <row r="56" spans="1:15" x14ac:dyDescent="0.25">
      <c r="A56" s="63" t="s">
        <v>111</v>
      </c>
      <c r="B56" s="66">
        <v>2024</v>
      </c>
      <c r="C56" s="65">
        <v>121</v>
      </c>
      <c r="D56" s="65" t="s">
        <v>44</v>
      </c>
      <c r="E56" s="65" t="s">
        <v>159</v>
      </c>
      <c r="F56" s="72" t="s">
        <v>225</v>
      </c>
      <c r="G56" s="72" t="s">
        <v>185</v>
      </c>
      <c r="H56" s="72" t="s">
        <v>185</v>
      </c>
      <c r="I56" s="75" t="s">
        <v>45</v>
      </c>
      <c r="J56" s="76">
        <v>45473</v>
      </c>
      <c r="K56" s="72" t="s">
        <v>185</v>
      </c>
      <c r="L56" s="72" t="s">
        <v>185</v>
      </c>
      <c r="M56" s="69">
        <v>45473</v>
      </c>
      <c r="N56" s="69">
        <v>45473</v>
      </c>
      <c r="O56" s="66"/>
    </row>
    <row r="57" spans="1:15" x14ac:dyDescent="0.25">
      <c r="A57" s="63" t="s">
        <v>111</v>
      </c>
      <c r="B57" s="66">
        <v>2024</v>
      </c>
      <c r="C57" s="65">
        <v>121</v>
      </c>
      <c r="D57" s="65" t="s">
        <v>44</v>
      </c>
      <c r="E57" s="65" t="s">
        <v>160</v>
      </c>
      <c r="F57" s="72" t="s">
        <v>226</v>
      </c>
      <c r="G57" s="72" t="s">
        <v>185</v>
      </c>
      <c r="H57" s="72" t="s">
        <v>185</v>
      </c>
      <c r="I57" s="75" t="s">
        <v>45</v>
      </c>
      <c r="J57" s="76">
        <v>45473</v>
      </c>
      <c r="K57" s="77" t="s">
        <v>185</v>
      </c>
      <c r="L57" s="72" t="s">
        <v>185</v>
      </c>
      <c r="M57" s="69">
        <v>45473</v>
      </c>
      <c r="N57" s="69">
        <v>45473</v>
      </c>
      <c r="O57" s="66"/>
    </row>
    <row r="58" spans="1:15" x14ac:dyDescent="0.25">
      <c r="A58" s="63" t="s">
        <v>111</v>
      </c>
      <c r="B58" s="66">
        <v>2024</v>
      </c>
      <c r="C58" s="65">
        <v>121</v>
      </c>
      <c r="D58" s="65" t="s">
        <v>44</v>
      </c>
      <c r="E58" s="65" t="s">
        <v>161</v>
      </c>
      <c r="F58" s="72" t="s">
        <v>227</v>
      </c>
      <c r="G58" s="72" t="s">
        <v>173</v>
      </c>
      <c r="H58" s="72" t="s">
        <v>176</v>
      </c>
      <c r="I58" s="75" t="s">
        <v>45</v>
      </c>
      <c r="J58" s="76">
        <v>45473</v>
      </c>
      <c r="K58" s="77" t="s">
        <v>260</v>
      </c>
      <c r="L58" s="77" t="s">
        <v>260</v>
      </c>
      <c r="M58" s="69">
        <v>45473</v>
      </c>
      <c r="N58" s="69">
        <v>45473</v>
      </c>
      <c r="O58" s="66"/>
    </row>
    <row r="59" spans="1:15" x14ac:dyDescent="0.25">
      <c r="A59" s="63" t="s">
        <v>111</v>
      </c>
      <c r="B59" s="66">
        <v>2024</v>
      </c>
      <c r="C59" s="65">
        <v>121</v>
      </c>
      <c r="D59" s="65" t="s">
        <v>44</v>
      </c>
      <c r="E59" s="65" t="s">
        <v>162</v>
      </c>
      <c r="F59" s="72" t="s">
        <v>228</v>
      </c>
      <c r="G59" s="72" t="s">
        <v>185</v>
      </c>
      <c r="H59" s="72" t="s">
        <v>185</v>
      </c>
      <c r="I59" s="75" t="s">
        <v>45</v>
      </c>
      <c r="J59" s="76">
        <v>45473</v>
      </c>
      <c r="K59" s="72" t="s">
        <v>185</v>
      </c>
      <c r="L59" s="72" t="s">
        <v>185</v>
      </c>
      <c r="M59" s="69">
        <v>45473</v>
      </c>
      <c r="N59" s="69">
        <v>45473</v>
      </c>
      <c r="O59" s="66"/>
    </row>
    <row r="60" spans="1:15" x14ac:dyDescent="0.25">
      <c r="A60" s="63" t="s">
        <v>111</v>
      </c>
      <c r="B60" s="66">
        <v>2024</v>
      </c>
      <c r="C60" s="65">
        <v>121</v>
      </c>
      <c r="D60" s="65" t="s">
        <v>44</v>
      </c>
      <c r="E60" s="65" t="s">
        <v>163</v>
      </c>
      <c r="F60" s="72" t="s">
        <v>229</v>
      </c>
      <c r="G60" s="72" t="s">
        <v>173</v>
      </c>
      <c r="H60" s="72" t="s">
        <v>176</v>
      </c>
      <c r="I60" s="75" t="s">
        <v>45</v>
      </c>
      <c r="J60" s="76">
        <v>45473</v>
      </c>
      <c r="K60" s="77" t="s">
        <v>260</v>
      </c>
      <c r="L60" s="77" t="s">
        <v>260</v>
      </c>
      <c r="M60" s="69">
        <v>45473</v>
      </c>
      <c r="N60" s="69">
        <v>45473</v>
      </c>
      <c r="O60" s="66"/>
    </row>
    <row r="61" spans="1:15" x14ac:dyDescent="0.25">
      <c r="A61" s="63" t="s">
        <v>111</v>
      </c>
      <c r="B61" s="66">
        <v>2024</v>
      </c>
      <c r="C61" s="65">
        <v>121</v>
      </c>
      <c r="D61" s="65" t="s">
        <v>44</v>
      </c>
      <c r="E61" s="65" t="s">
        <v>164</v>
      </c>
      <c r="F61" s="72" t="s">
        <v>230</v>
      </c>
      <c r="G61" s="72" t="s">
        <v>185</v>
      </c>
      <c r="H61" s="72" t="s">
        <v>185</v>
      </c>
      <c r="I61" s="75" t="s">
        <v>45</v>
      </c>
      <c r="J61" s="76">
        <v>45473</v>
      </c>
      <c r="K61" s="77" t="s">
        <v>185</v>
      </c>
      <c r="L61" s="72" t="s">
        <v>185</v>
      </c>
      <c r="M61" s="69">
        <v>45473</v>
      </c>
      <c r="N61" s="69">
        <v>45473</v>
      </c>
      <c r="O61" s="66"/>
    </row>
    <row r="62" spans="1:15" x14ac:dyDescent="0.25">
      <c r="A62" s="63" t="s">
        <v>111</v>
      </c>
      <c r="B62" s="66">
        <v>2024</v>
      </c>
      <c r="C62" s="65">
        <v>121</v>
      </c>
      <c r="D62" s="65" t="s">
        <v>44</v>
      </c>
      <c r="E62" s="65" t="s">
        <v>165</v>
      </c>
      <c r="F62" s="72" t="s">
        <v>231</v>
      </c>
      <c r="G62" s="72" t="s">
        <v>185</v>
      </c>
      <c r="H62" s="72" t="s">
        <v>185</v>
      </c>
      <c r="I62" s="75" t="s">
        <v>45</v>
      </c>
      <c r="J62" s="76">
        <v>45473</v>
      </c>
      <c r="K62" s="72" t="s">
        <v>185</v>
      </c>
      <c r="L62" s="72" t="s">
        <v>185</v>
      </c>
      <c r="M62" s="69">
        <v>45473</v>
      </c>
      <c r="N62" s="69">
        <v>45473</v>
      </c>
      <c r="O62" s="66"/>
    </row>
    <row r="63" spans="1:15" x14ac:dyDescent="0.25">
      <c r="A63" s="63" t="s">
        <v>111</v>
      </c>
      <c r="B63" s="66">
        <v>2024</v>
      </c>
      <c r="C63" s="65">
        <v>123</v>
      </c>
      <c r="D63" s="65" t="s">
        <v>166</v>
      </c>
      <c r="E63" s="65" t="s">
        <v>112</v>
      </c>
      <c r="F63" s="72" t="s">
        <v>232</v>
      </c>
      <c r="G63" s="72" t="s">
        <v>173</v>
      </c>
      <c r="H63" s="72" t="s">
        <v>176</v>
      </c>
      <c r="I63" s="75" t="s">
        <v>45</v>
      </c>
      <c r="J63" s="76">
        <v>45473</v>
      </c>
      <c r="K63" s="77" t="s">
        <v>260</v>
      </c>
      <c r="L63" s="77" t="s">
        <v>260</v>
      </c>
      <c r="M63" s="69">
        <v>45473</v>
      </c>
      <c r="N63" s="69">
        <v>45473</v>
      </c>
      <c r="O63" s="66"/>
    </row>
    <row r="64" spans="1:15" x14ac:dyDescent="0.25">
      <c r="A64" s="63" t="s">
        <v>111</v>
      </c>
      <c r="B64" s="66">
        <v>2024</v>
      </c>
      <c r="C64" s="65">
        <v>123</v>
      </c>
      <c r="D64" s="65" t="s">
        <v>166</v>
      </c>
      <c r="E64" s="65" t="s">
        <v>113</v>
      </c>
      <c r="F64" s="72" t="s">
        <v>233</v>
      </c>
      <c r="G64" s="72" t="s">
        <v>185</v>
      </c>
      <c r="H64" s="72" t="s">
        <v>185</v>
      </c>
      <c r="I64" s="75" t="s">
        <v>45</v>
      </c>
      <c r="J64" s="76">
        <v>45473</v>
      </c>
      <c r="K64" s="77" t="s">
        <v>185</v>
      </c>
      <c r="L64" s="72" t="s">
        <v>185</v>
      </c>
      <c r="M64" s="69">
        <v>45473</v>
      </c>
      <c r="N64" s="69">
        <v>45473</v>
      </c>
      <c r="O64" s="66"/>
    </row>
    <row r="65" spans="1:15" x14ac:dyDescent="0.25">
      <c r="A65" s="63" t="s">
        <v>111</v>
      </c>
      <c r="B65" s="66">
        <v>2024</v>
      </c>
      <c r="C65" s="65">
        <v>123</v>
      </c>
      <c r="D65" s="65" t="s">
        <v>166</v>
      </c>
      <c r="E65" s="65" t="s">
        <v>114</v>
      </c>
      <c r="F65" s="72" t="s">
        <v>234</v>
      </c>
      <c r="G65" s="72" t="s">
        <v>185</v>
      </c>
      <c r="H65" s="72" t="s">
        <v>185</v>
      </c>
      <c r="I65" s="75" t="s">
        <v>45</v>
      </c>
      <c r="J65" s="76">
        <v>45473</v>
      </c>
      <c r="K65" s="72" t="s">
        <v>185</v>
      </c>
      <c r="L65" s="72" t="s">
        <v>185</v>
      </c>
      <c r="M65" s="69">
        <v>45473</v>
      </c>
      <c r="N65" s="69">
        <v>45473</v>
      </c>
      <c r="O65" s="66"/>
    </row>
    <row r="66" spans="1:15" x14ac:dyDescent="0.25">
      <c r="A66" s="63" t="s">
        <v>111</v>
      </c>
      <c r="B66" s="66">
        <v>2024</v>
      </c>
      <c r="C66" s="65">
        <v>123</v>
      </c>
      <c r="D66" s="65" t="s">
        <v>166</v>
      </c>
      <c r="E66" s="65" t="s">
        <v>115</v>
      </c>
      <c r="F66" s="72" t="s">
        <v>235</v>
      </c>
      <c r="G66" s="72" t="s">
        <v>185</v>
      </c>
      <c r="H66" s="72" t="s">
        <v>185</v>
      </c>
      <c r="I66" s="75" t="s">
        <v>45</v>
      </c>
      <c r="J66" s="76">
        <v>45473</v>
      </c>
      <c r="K66" s="72" t="s">
        <v>185</v>
      </c>
      <c r="L66" s="72" t="s">
        <v>185</v>
      </c>
      <c r="M66" s="69">
        <v>45473</v>
      </c>
      <c r="N66" s="69">
        <v>45473</v>
      </c>
      <c r="O66" s="66"/>
    </row>
    <row r="67" spans="1:15" x14ac:dyDescent="0.25">
      <c r="A67" s="63" t="s">
        <v>111</v>
      </c>
      <c r="B67" s="66">
        <v>2024</v>
      </c>
      <c r="C67" s="65">
        <v>123</v>
      </c>
      <c r="D67" s="65" t="s">
        <v>166</v>
      </c>
      <c r="E67" s="65" t="s">
        <v>116</v>
      </c>
      <c r="F67" s="72" t="s">
        <v>236</v>
      </c>
      <c r="G67" s="72" t="s">
        <v>185</v>
      </c>
      <c r="H67" s="72" t="s">
        <v>185</v>
      </c>
      <c r="I67" s="75" t="s">
        <v>45</v>
      </c>
      <c r="J67" s="76">
        <v>45473</v>
      </c>
      <c r="K67" s="77" t="s">
        <v>185</v>
      </c>
      <c r="L67" s="72" t="s">
        <v>185</v>
      </c>
      <c r="M67" s="69">
        <v>45473</v>
      </c>
      <c r="N67" s="69">
        <v>45473</v>
      </c>
      <c r="O67" s="66"/>
    </row>
    <row r="68" spans="1:15" x14ac:dyDescent="0.25">
      <c r="A68" s="63" t="s">
        <v>111</v>
      </c>
      <c r="B68" s="66">
        <v>2024</v>
      </c>
      <c r="C68" s="65">
        <v>123</v>
      </c>
      <c r="D68" s="65" t="s">
        <v>166</v>
      </c>
      <c r="E68" s="65" t="s">
        <v>117</v>
      </c>
      <c r="F68" s="72" t="s">
        <v>237</v>
      </c>
      <c r="G68" s="72" t="s">
        <v>185</v>
      </c>
      <c r="H68" s="72" t="s">
        <v>185</v>
      </c>
      <c r="I68" s="75" t="s">
        <v>45</v>
      </c>
      <c r="J68" s="76">
        <v>45473</v>
      </c>
      <c r="K68" s="77" t="s">
        <v>185</v>
      </c>
      <c r="L68" s="72" t="s">
        <v>185</v>
      </c>
      <c r="M68" s="69">
        <v>45473</v>
      </c>
      <c r="N68" s="69">
        <v>45473</v>
      </c>
      <c r="O68" s="66"/>
    </row>
    <row r="69" spans="1:15" x14ac:dyDescent="0.25">
      <c r="A69" s="63" t="s">
        <v>111</v>
      </c>
      <c r="B69" s="66">
        <v>2024</v>
      </c>
      <c r="C69" s="65">
        <v>123</v>
      </c>
      <c r="D69" s="65" t="s">
        <v>166</v>
      </c>
      <c r="E69" s="65" t="s">
        <v>118</v>
      </c>
      <c r="F69" s="72" t="s">
        <v>238</v>
      </c>
      <c r="G69" s="72" t="s">
        <v>185</v>
      </c>
      <c r="H69" s="72" t="s">
        <v>185</v>
      </c>
      <c r="I69" s="75" t="s">
        <v>45</v>
      </c>
      <c r="J69" s="76">
        <v>45473</v>
      </c>
      <c r="K69" s="77" t="s">
        <v>185</v>
      </c>
      <c r="L69" s="72" t="s">
        <v>185</v>
      </c>
      <c r="M69" s="69">
        <v>45473</v>
      </c>
      <c r="N69" s="69">
        <v>45473</v>
      </c>
      <c r="O69" s="66"/>
    </row>
    <row r="70" spans="1:15" x14ac:dyDescent="0.25">
      <c r="A70" s="63" t="s">
        <v>111</v>
      </c>
      <c r="B70" s="66">
        <v>2024</v>
      </c>
      <c r="C70" s="65">
        <v>123</v>
      </c>
      <c r="D70" s="65" t="s">
        <v>166</v>
      </c>
      <c r="E70" s="65" t="s">
        <v>119</v>
      </c>
      <c r="F70" s="72" t="s">
        <v>239</v>
      </c>
      <c r="G70" s="72" t="s">
        <v>185</v>
      </c>
      <c r="H70" s="72" t="s">
        <v>185</v>
      </c>
      <c r="I70" s="75" t="s">
        <v>45</v>
      </c>
      <c r="J70" s="76">
        <v>45473</v>
      </c>
      <c r="K70" s="77" t="s">
        <v>185</v>
      </c>
      <c r="L70" s="72" t="s">
        <v>185</v>
      </c>
      <c r="M70" s="69">
        <v>45473</v>
      </c>
      <c r="N70" s="69">
        <v>45473</v>
      </c>
      <c r="O70" s="66"/>
    </row>
    <row r="71" spans="1:15" x14ac:dyDescent="0.25">
      <c r="A71" s="63" t="s">
        <v>111</v>
      </c>
      <c r="B71" s="66">
        <v>2024</v>
      </c>
      <c r="C71" s="65">
        <v>123</v>
      </c>
      <c r="D71" s="65" t="s">
        <v>166</v>
      </c>
      <c r="E71" s="65" t="s">
        <v>120</v>
      </c>
      <c r="F71" s="72" t="s">
        <v>240</v>
      </c>
      <c r="G71" s="72" t="s">
        <v>185</v>
      </c>
      <c r="H71" s="72" t="s">
        <v>185</v>
      </c>
      <c r="I71" s="75" t="s">
        <v>45</v>
      </c>
      <c r="J71" s="76">
        <v>45473</v>
      </c>
      <c r="K71" s="77" t="s">
        <v>185</v>
      </c>
      <c r="L71" s="72" t="s">
        <v>185</v>
      </c>
      <c r="M71" s="69">
        <v>45473</v>
      </c>
      <c r="N71" s="69">
        <v>45473</v>
      </c>
      <c r="O71" s="66"/>
    </row>
    <row r="72" spans="1:15" x14ac:dyDescent="0.25">
      <c r="A72" s="63" t="s">
        <v>111</v>
      </c>
      <c r="B72" s="66">
        <v>2024</v>
      </c>
      <c r="C72" s="65">
        <v>123</v>
      </c>
      <c r="D72" s="65" t="s">
        <v>166</v>
      </c>
      <c r="E72" s="65" t="s">
        <v>121</v>
      </c>
      <c r="F72" s="72" t="s">
        <v>241</v>
      </c>
      <c r="G72" s="72" t="s">
        <v>185</v>
      </c>
      <c r="H72" s="72" t="s">
        <v>185</v>
      </c>
      <c r="I72" s="75" t="s">
        <v>45</v>
      </c>
      <c r="J72" s="76">
        <v>45473</v>
      </c>
      <c r="K72" s="77" t="s">
        <v>185</v>
      </c>
      <c r="L72" s="72" t="s">
        <v>185</v>
      </c>
      <c r="M72" s="69">
        <v>45473</v>
      </c>
      <c r="N72" s="69">
        <v>45473</v>
      </c>
      <c r="O72" s="66"/>
    </row>
    <row r="73" spans="1:15" x14ac:dyDescent="0.25">
      <c r="A73" s="63" t="s">
        <v>111</v>
      </c>
      <c r="B73" s="66">
        <v>2024</v>
      </c>
      <c r="C73" s="65">
        <v>123</v>
      </c>
      <c r="D73" s="65" t="s">
        <v>166</v>
      </c>
      <c r="E73" s="65" t="s">
        <v>122</v>
      </c>
      <c r="F73" s="72" t="s">
        <v>242</v>
      </c>
      <c r="G73" s="72" t="s">
        <v>185</v>
      </c>
      <c r="H73" s="72" t="s">
        <v>185</v>
      </c>
      <c r="I73" s="75" t="s">
        <v>45</v>
      </c>
      <c r="J73" s="76">
        <v>45473</v>
      </c>
      <c r="K73" s="77" t="s">
        <v>185</v>
      </c>
      <c r="L73" s="72" t="s">
        <v>185</v>
      </c>
      <c r="M73" s="69">
        <v>45473</v>
      </c>
      <c r="N73" s="69">
        <v>45473</v>
      </c>
      <c r="O73" s="66"/>
    </row>
    <row r="74" spans="1:15" x14ac:dyDescent="0.25">
      <c r="A74" s="63" t="s">
        <v>111</v>
      </c>
      <c r="B74" s="66">
        <v>2024</v>
      </c>
      <c r="C74" s="65">
        <v>123</v>
      </c>
      <c r="D74" s="65" t="s">
        <v>166</v>
      </c>
      <c r="E74" s="65" t="s">
        <v>123</v>
      </c>
      <c r="F74" s="72" t="s">
        <v>243</v>
      </c>
      <c r="G74" s="72" t="s">
        <v>185</v>
      </c>
      <c r="H74" s="72" t="s">
        <v>185</v>
      </c>
      <c r="I74" s="75" t="s">
        <v>45</v>
      </c>
      <c r="J74" s="76">
        <v>45473</v>
      </c>
      <c r="K74" s="77" t="s">
        <v>185</v>
      </c>
      <c r="L74" s="72" t="s">
        <v>185</v>
      </c>
      <c r="M74" s="69">
        <v>45473</v>
      </c>
      <c r="N74" s="69">
        <v>45473</v>
      </c>
      <c r="O74" s="66"/>
    </row>
    <row r="75" spans="1:15" x14ac:dyDescent="0.25">
      <c r="A75" s="63" t="s">
        <v>111</v>
      </c>
      <c r="B75" s="66">
        <v>2024</v>
      </c>
      <c r="C75" s="65">
        <v>123</v>
      </c>
      <c r="D75" s="65" t="s">
        <v>166</v>
      </c>
      <c r="E75" s="65" t="s">
        <v>124</v>
      </c>
      <c r="F75" s="72" t="s">
        <v>244</v>
      </c>
      <c r="G75" s="72" t="s">
        <v>173</v>
      </c>
      <c r="H75" s="72" t="s">
        <v>176</v>
      </c>
      <c r="I75" s="75" t="s">
        <v>45</v>
      </c>
      <c r="J75" s="76">
        <v>45473</v>
      </c>
      <c r="K75" s="77" t="s">
        <v>260</v>
      </c>
      <c r="L75" s="77" t="s">
        <v>260</v>
      </c>
      <c r="M75" s="69">
        <v>45473</v>
      </c>
      <c r="N75" s="69">
        <v>45473</v>
      </c>
      <c r="O75" s="66"/>
    </row>
    <row r="76" spans="1:15" x14ac:dyDescent="0.25">
      <c r="A76" s="63" t="s">
        <v>111</v>
      </c>
      <c r="B76" s="66">
        <v>2024</v>
      </c>
      <c r="C76" s="65">
        <v>123</v>
      </c>
      <c r="D76" s="65" t="s">
        <v>166</v>
      </c>
      <c r="E76" s="65" t="s">
        <v>125</v>
      </c>
      <c r="F76" s="72" t="s">
        <v>245</v>
      </c>
      <c r="G76" s="72" t="s">
        <v>173</v>
      </c>
      <c r="H76" s="72" t="s">
        <v>176</v>
      </c>
      <c r="I76" s="75" t="s">
        <v>45</v>
      </c>
      <c r="J76" s="76">
        <v>45473</v>
      </c>
      <c r="K76" s="77" t="s">
        <v>260</v>
      </c>
      <c r="L76" s="77" t="s">
        <v>260</v>
      </c>
      <c r="M76" s="69">
        <v>45473</v>
      </c>
      <c r="N76" s="69">
        <v>45473</v>
      </c>
      <c r="O76" s="66"/>
    </row>
    <row r="77" spans="1:15" x14ac:dyDescent="0.25">
      <c r="A77" s="63" t="s">
        <v>111</v>
      </c>
      <c r="B77" s="66">
        <v>2024</v>
      </c>
      <c r="C77" s="65">
        <v>123</v>
      </c>
      <c r="D77" s="65" t="s">
        <v>166</v>
      </c>
      <c r="E77" s="65" t="s">
        <v>126</v>
      </c>
      <c r="F77" s="72" t="s">
        <v>246</v>
      </c>
      <c r="G77" s="72" t="s">
        <v>185</v>
      </c>
      <c r="H77" s="72" t="s">
        <v>185</v>
      </c>
      <c r="I77" s="75" t="s">
        <v>45</v>
      </c>
      <c r="J77" s="76">
        <v>45473</v>
      </c>
      <c r="K77" s="77" t="s">
        <v>185</v>
      </c>
      <c r="L77" s="72" t="s">
        <v>185</v>
      </c>
      <c r="M77" s="69">
        <v>45473</v>
      </c>
      <c r="N77" s="69">
        <v>45473</v>
      </c>
      <c r="O77" s="66"/>
    </row>
    <row r="78" spans="1:15" x14ac:dyDescent="0.25">
      <c r="A78" s="63" t="s">
        <v>111</v>
      </c>
      <c r="B78" s="66">
        <v>2024</v>
      </c>
      <c r="C78" s="65">
        <v>123</v>
      </c>
      <c r="D78" s="65" t="s">
        <v>166</v>
      </c>
      <c r="E78" s="65" t="s">
        <v>127</v>
      </c>
      <c r="F78" s="72" t="s">
        <v>247</v>
      </c>
      <c r="G78" s="72" t="s">
        <v>185</v>
      </c>
      <c r="H78" s="72" t="s">
        <v>185</v>
      </c>
      <c r="I78" s="75" t="s">
        <v>45</v>
      </c>
      <c r="J78" s="76">
        <v>45473</v>
      </c>
      <c r="K78" s="77" t="s">
        <v>185</v>
      </c>
      <c r="L78" s="72" t="s">
        <v>185</v>
      </c>
      <c r="M78" s="69">
        <v>45473</v>
      </c>
      <c r="N78" s="69">
        <v>45473</v>
      </c>
      <c r="O78" s="66"/>
    </row>
    <row r="79" spans="1:15" x14ac:dyDescent="0.25">
      <c r="A79" s="63" t="s">
        <v>111</v>
      </c>
      <c r="B79" s="66">
        <v>2024</v>
      </c>
      <c r="C79" s="65">
        <v>123</v>
      </c>
      <c r="D79" s="65" t="s">
        <v>166</v>
      </c>
      <c r="E79" s="65" t="s">
        <v>128</v>
      </c>
      <c r="F79" s="72" t="s">
        <v>248</v>
      </c>
      <c r="G79" s="72" t="s">
        <v>185</v>
      </c>
      <c r="H79" s="72" t="s">
        <v>185</v>
      </c>
      <c r="I79" s="75" t="s">
        <v>45</v>
      </c>
      <c r="J79" s="76">
        <v>45473</v>
      </c>
      <c r="K79" s="72" t="s">
        <v>185</v>
      </c>
      <c r="L79" s="72" t="s">
        <v>185</v>
      </c>
      <c r="M79" s="69">
        <v>45473</v>
      </c>
      <c r="N79" s="69">
        <v>45473</v>
      </c>
      <c r="O79" s="66"/>
    </row>
    <row r="80" spans="1:15" x14ac:dyDescent="0.25">
      <c r="A80" s="63" t="s">
        <v>111</v>
      </c>
      <c r="B80" s="66">
        <v>2024</v>
      </c>
      <c r="C80" s="65">
        <v>123</v>
      </c>
      <c r="D80" s="65" t="s">
        <v>166</v>
      </c>
      <c r="E80" s="65" t="s">
        <v>129</v>
      </c>
      <c r="F80" s="72" t="s">
        <v>249</v>
      </c>
      <c r="G80" s="72" t="s">
        <v>185</v>
      </c>
      <c r="H80" s="72" t="s">
        <v>185</v>
      </c>
      <c r="I80" s="75" t="s">
        <v>45</v>
      </c>
      <c r="J80" s="76">
        <v>45473</v>
      </c>
      <c r="K80" s="77" t="s">
        <v>185</v>
      </c>
      <c r="L80" s="72" t="s">
        <v>185</v>
      </c>
      <c r="M80" s="69">
        <v>45473</v>
      </c>
      <c r="N80" s="69">
        <v>45473</v>
      </c>
      <c r="O80" s="66"/>
    </row>
    <row r="81" spans="1:15" x14ac:dyDescent="0.25">
      <c r="A81" s="63" t="s">
        <v>111</v>
      </c>
      <c r="B81" s="66">
        <v>2024</v>
      </c>
      <c r="C81" s="65">
        <v>123</v>
      </c>
      <c r="D81" s="65" t="s">
        <v>166</v>
      </c>
      <c r="E81" s="65" t="s">
        <v>130</v>
      </c>
      <c r="F81" s="72" t="s">
        <v>250</v>
      </c>
      <c r="G81" s="72" t="s">
        <v>185</v>
      </c>
      <c r="H81" s="72" t="s">
        <v>185</v>
      </c>
      <c r="I81" s="75" t="s">
        <v>45</v>
      </c>
      <c r="J81" s="76">
        <v>45473</v>
      </c>
      <c r="K81" s="77" t="s">
        <v>185</v>
      </c>
      <c r="L81" s="72" t="s">
        <v>185</v>
      </c>
      <c r="M81" s="69">
        <v>45473</v>
      </c>
      <c r="N81" s="69">
        <v>45473</v>
      </c>
      <c r="O81" s="66"/>
    </row>
    <row r="82" spans="1:15" x14ac:dyDescent="0.25">
      <c r="A82" s="63" t="s">
        <v>111</v>
      </c>
      <c r="B82" s="66">
        <v>2024</v>
      </c>
      <c r="C82" s="65">
        <v>123</v>
      </c>
      <c r="D82" s="65" t="s">
        <v>166</v>
      </c>
      <c r="E82" s="65" t="s">
        <v>131</v>
      </c>
      <c r="F82" s="72" t="s">
        <v>251</v>
      </c>
      <c r="G82" s="72" t="s">
        <v>185</v>
      </c>
      <c r="H82" s="72" t="s">
        <v>185</v>
      </c>
      <c r="I82" s="75" t="s">
        <v>45</v>
      </c>
      <c r="J82" s="76">
        <v>45473</v>
      </c>
      <c r="K82" s="77" t="s">
        <v>185</v>
      </c>
      <c r="L82" s="72" t="s">
        <v>185</v>
      </c>
      <c r="M82" s="69">
        <v>45473</v>
      </c>
      <c r="N82" s="69">
        <v>45473</v>
      </c>
      <c r="O82" s="66"/>
    </row>
    <row r="83" spans="1:15" x14ac:dyDescent="0.25">
      <c r="A83" s="63" t="s">
        <v>111</v>
      </c>
      <c r="B83" s="66">
        <v>2024</v>
      </c>
      <c r="C83" s="65">
        <v>123</v>
      </c>
      <c r="D83" s="65" t="s">
        <v>166</v>
      </c>
      <c r="E83" s="65" t="s">
        <v>132</v>
      </c>
      <c r="F83" s="72" t="s">
        <v>252</v>
      </c>
      <c r="G83" s="72" t="s">
        <v>185</v>
      </c>
      <c r="H83" s="72" t="s">
        <v>185</v>
      </c>
      <c r="I83" s="75" t="s">
        <v>45</v>
      </c>
      <c r="J83" s="76">
        <v>45473</v>
      </c>
      <c r="K83" s="77" t="s">
        <v>185</v>
      </c>
      <c r="L83" s="72" t="s">
        <v>185</v>
      </c>
      <c r="M83" s="69">
        <v>45473</v>
      </c>
      <c r="N83" s="69">
        <v>45473</v>
      </c>
      <c r="O83" s="66"/>
    </row>
    <row r="84" spans="1:15" x14ac:dyDescent="0.25">
      <c r="A84" s="63" t="s">
        <v>111</v>
      </c>
      <c r="B84" s="66">
        <v>2024</v>
      </c>
      <c r="C84" s="65">
        <v>123</v>
      </c>
      <c r="D84" s="65" t="s">
        <v>166</v>
      </c>
      <c r="E84" s="65" t="s">
        <v>133</v>
      </c>
      <c r="F84" s="72" t="s">
        <v>253</v>
      </c>
      <c r="G84" s="72" t="s">
        <v>185</v>
      </c>
      <c r="H84" s="72" t="s">
        <v>185</v>
      </c>
      <c r="I84" s="75" t="s">
        <v>45</v>
      </c>
      <c r="J84" s="76">
        <v>45473</v>
      </c>
      <c r="K84" s="77" t="s">
        <v>185</v>
      </c>
      <c r="L84" s="72" t="s">
        <v>185</v>
      </c>
      <c r="M84" s="69">
        <v>45473</v>
      </c>
      <c r="N84" s="69">
        <v>45473</v>
      </c>
      <c r="O84" s="66"/>
    </row>
    <row r="85" spans="1:15" x14ac:dyDescent="0.25">
      <c r="A85" s="63" t="s">
        <v>111</v>
      </c>
      <c r="B85" s="66">
        <v>2024</v>
      </c>
      <c r="C85" s="65">
        <v>123</v>
      </c>
      <c r="D85" s="65" t="s">
        <v>166</v>
      </c>
      <c r="E85" s="65" t="s">
        <v>134</v>
      </c>
      <c r="F85" s="72" t="s">
        <v>254</v>
      </c>
      <c r="G85" s="72" t="s">
        <v>185</v>
      </c>
      <c r="H85" s="72" t="s">
        <v>185</v>
      </c>
      <c r="I85" s="75" t="s">
        <v>45</v>
      </c>
      <c r="J85" s="76">
        <v>45473</v>
      </c>
      <c r="K85" s="77" t="s">
        <v>185</v>
      </c>
      <c r="L85" s="72" t="s">
        <v>185</v>
      </c>
      <c r="M85" s="69">
        <v>45473</v>
      </c>
      <c r="N85" s="69">
        <v>45473</v>
      </c>
      <c r="O85" s="66"/>
    </row>
    <row r="86" spans="1:15" x14ac:dyDescent="0.25">
      <c r="A86" s="63" t="s">
        <v>111</v>
      </c>
      <c r="B86" s="66">
        <v>2024</v>
      </c>
      <c r="C86" s="65">
        <v>123</v>
      </c>
      <c r="D86" s="65" t="s">
        <v>166</v>
      </c>
      <c r="E86" s="65" t="s">
        <v>135</v>
      </c>
      <c r="F86" s="72" t="s">
        <v>255</v>
      </c>
      <c r="G86" s="72" t="s">
        <v>185</v>
      </c>
      <c r="H86" s="72" t="s">
        <v>185</v>
      </c>
      <c r="I86" s="75" t="s">
        <v>45</v>
      </c>
      <c r="J86" s="76">
        <v>45473</v>
      </c>
      <c r="K86" s="77" t="s">
        <v>185</v>
      </c>
      <c r="L86" s="72" t="s">
        <v>185</v>
      </c>
      <c r="M86" s="69">
        <v>45473</v>
      </c>
      <c r="N86" s="69">
        <v>45473</v>
      </c>
      <c r="O86" s="66"/>
    </row>
    <row r="87" spans="1:15" x14ac:dyDescent="0.25">
      <c r="A87" s="63" t="s">
        <v>111</v>
      </c>
      <c r="B87" s="66">
        <v>2024</v>
      </c>
      <c r="C87" s="65">
        <v>123</v>
      </c>
      <c r="D87" s="65" t="s">
        <v>166</v>
      </c>
      <c r="E87" s="65" t="s">
        <v>136</v>
      </c>
      <c r="F87" s="72" t="s">
        <v>256</v>
      </c>
      <c r="G87" s="72" t="s">
        <v>185</v>
      </c>
      <c r="H87" s="72" t="s">
        <v>185</v>
      </c>
      <c r="I87" s="75" t="s">
        <v>45</v>
      </c>
      <c r="J87" s="76">
        <v>45473</v>
      </c>
      <c r="K87" s="77" t="s">
        <v>185</v>
      </c>
      <c r="L87" s="72" t="s">
        <v>185</v>
      </c>
      <c r="M87" s="69">
        <v>45473</v>
      </c>
      <c r="N87" s="69">
        <v>45473</v>
      </c>
      <c r="O87" s="66"/>
    </row>
    <row r="88" spans="1:15" x14ac:dyDescent="0.25">
      <c r="A88" s="63" t="s">
        <v>111</v>
      </c>
      <c r="B88" s="66">
        <v>2024</v>
      </c>
      <c r="C88" s="65">
        <v>123</v>
      </c>
      <c r="D88" s="65" t="s">
        <v>166</v>
      </c>
      <c r="E88" s="65" t="s">
        <v>137</v>
      </c>
      <c r="F88" s="72" t="s">
        <v>257</v>
      </c>
      <c r="G88" s="72" t="s">
        <v>185</v>
      </c>
      <c r="H88" s="72" t="s">
        <v>185</v>
      </c>
      <c r="I88" s="75" t="s">
        <v>45</v>
      </c>
      <c r="J88" s="76">
        <v>45473</v>
      </c>
      <c r="K88" s="77" t="s">
        <v>185</v>
      </c>
      <c r="L88" s="72" t="s">
        <v>185</v>
      </c>
      <c r="M88" s="69">
        <v>45473</v>
      </c>
      <c r="N88" s="69">
        <v>45473</v>
      </c>
      <c r="O88" s="66"/>
    </row>
    <row r="89" spans="1:15" x14ac:dyDescent="0.25">
      <c r="A89" s="63" t="s">
        <v>111</v>
      </c>
      <c r="B89" s="66">
        <v>2024</v>
      </c>
      <c r="C89" s="65">
        <v>144</v>
      </c>
      <c r="D89" s="65" t="s">
        <v>168</v>
      </c>
      <c r="E89" s="65" t="s">
        <v>167</v>
      </c>
      <c r="F89" s="72" t="s">
        <v>168</v>
      </c>
      <c r="G89" s="72" t="s">
        <v>173</v>
      </c>
      <c r="H89" s="72" t="s">
        <v>176</v>
      </c>
      <c r="I89" s="75" t="s">
        <v>45</v>
      </c>
      <c r="J89" s="76">
        <v>45473</v>
      </c>
      <c r="K89" s="77" t="s">
        <v>260</v>
      </c>
      <c r="L89" s="77" t="s">
        <v>260</v>
      </c>
      <c r="M89" s="69">
        <v>45473</v>
      </c>
      <c r="N89" s="69">
        <v>45473</v>
      </c>
      <c r="O89" s="66"/>
    </row>
    <row r="90" spans="1:15" x14ac:dyDescent="0.25">
      <c r="A90" s="63" t="s">
        <v>111</v>
      </c>
      <c r="B90" s="66">
        <v>2024</v>
      </c>
      <c r="C90" s="65">
        <v>145</v>
      </c>
      <c r="D90" s="65" t="s">
        <v>169</v>
      </c>
      <c r="E90" s="65" t="s">
        <v>167</v>
      </c>
      <c r="F90" s="74" t="s">
        <v>258</v>
      </c>
      <c r="G90" s="72" t="s">
        <v>173</v>
      </c>
      <c r="H90" s="72" t="s">
        <v>176</v>
      </c>
      <c r="I90" s="75" t="s">
        <v>45</v>
      </c>
      <c r="J90" s="76">
        <v>45473</v>
      </c>
      <c r="K90" s="77" t="s">
        <v>260</v>
      </c>
      <c r="L90" s="77" t="s">
        <v>260</v>
      </c>
      <c r="M90" s="69">
        <v>45473</v>
      </c>
      <c r="N90" s="69">
        <v>45473</v>
      </c>
      <c r="O90" s="66"/>
    </row>
    <row r="91" spans="1:15" x14ac:dyDescent="0.25">
      <c r="A91" s="63" t="s">
        <v>111</v>
      </c>
      <c r="B91" s="66">
        <v>2024</v>
      </c>
      <c r="C91" s="65">
        <v>146</v>
      </c>
      <c r="D91" s="65" t="s">
        <v>170</v>
      </c>
      <c r="E91" s="65" t="s">
        <v>167</v>
      </c>
      <c r="F91" s="74" t="s">
        <v>259</v>
      </c>
      <c r="G91" s="72" t="s">
        <v>173</v>
      </c>
      <c r="H91" s="72" t="s">
        <v>176</v>
      </c>
      <c r="I91" s="75" t="s">
        <v>45</v>
      </c>
      <c r="J91" s="76">
        <v>45473</v>
      </c>
      <c r="K91" s="77" t="s">
        <v>260</v>
      </c>
      <c r="L91" s="77" t="s">
        <v>260</v>
      </c>
      <c r="M91" s="69">
        <v>45473</v>
      </c>
      <c r="N91" s="69">
        <v>45473</v>
      </c>
      <c r="O91" s="66"/>
    </row>
    <row r="92" spans="1:15" ht="15.75" customHeight="1" x14ac:dyDescent="0.25">
      <c r="A92" s="63" t="s">
        <v>111</v>
      </c>
      <c r="B92" s="66">
        <v>2024</v>
      </c>
      <c r="C92" s="65">
        <v>172</v>
      </c>
      <c r="D92" s="65" t="s">
        <v>171</v>
      </c>
      <c r="E92" s="65" t="s">
        <v>167</v>
      </c>
      <c r="F92" s="74" t="s">
        <v>171</v>
      </c>
      <c r="G92" s="72" t="s">
        <v>173</v>
      </c>
      <c r="H92" s="72" t="s">
        <v>176</v>
      </c>
      <c r="I92" s="75" t="s">
        <v>45</v>
      </c>
      <c r="J92" s="76">
        <v>45473</v>
      </c>
      <c r="K92" s="77" t="s">
        <v>260</v>
      </c>
      <c r="L92" s="77" t="s">
        <v>260</v>
      </c>
      <c r="M92" s="69">
        <v>45473</v>
      </c>
      <c r="N92" s="69">
        <v>45473</v>
      </c>
      <c r="O92" s="66"/>
    </row>
  </sheetData>
  <mergeCells count="7">
    <mergeCell ref="A6:O6"/>
    <mergeCell ref="A2:C2"/>
    <mergeCell ref="D2:F2"/>
    <mergeCell ref="G2:I2"/>
    <mergeCell ref="A3:C3"/>
    <mergeCell ref="D3:F3"/>
    <mergeCell ref="G3:I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pageSetUpPr fitToPage="1"/>
  </sheetPr>
  <dimension ref="A1:AO67"/>
  <sheetViews>
    <sheetView showGridLines="0" zoomScaleNormal="100" workbookViewId="0">
      <selection activeCell="U7" sqref="U7:W8"/>
    </sheetView>
  </sheetViews>
  <sheetFormatPr baseColWidth="10" defaultColWidth="8.140625" defaultRowHeight="11.25" x14ac:dyDescent="0.2"/>
  <cols>
    <col min="1" max="1" width="2.28515625" style="9" customWidth="1"/>
    <col min="2" max="2" width="3.28515625" style="5" customWidth="1"/>
    <col min="3" max="9" width="7.5703125" style="5" customWidth="1"/>
    <col min="10" max="10" width="3.28515625" style="5" customWidth="1"/>
    <col min="11" max="17" width="7.5703125" style="5" customWidth="1"/>
    <col min="18" max="18" width="3.28515625" style="5" customWidth="1"/>
    <col min="19" max="19" width="2.42578125" style="5" customWidth="1"/>
    <col min="20" max="20" width="3.28515625" style="5" customWidth="1"/>
    <col min="21" max="21" width="13.28515625" style="5" customWidth="1"/>
    <col min="22" max="22" width="36" style="5" customWidth="1"/>
    <col min="23" max="23" width="45.5703125" style="5" customWidth="1"/>
    <col min="24" max="24" width="2.42578125" style="5" customWidth="1"/>
    <col min="25" max="43" width="7.85546875" style="5" customWidth="1"/>
    <col min="44" max="44" width="8.140625" style="5" customWidth="1"/>
    <col min="45" max="16384" width="8.140625" style="5"/>
  </cols>
  <sheetData>
    <row r="1" spans="1:41" ht="30" customHeight="1" x14ac:dyDescent="0.4">
      <c r="A1" s="1" t="s">
        <v>46</v>
      </c>
      <c r="B1" s="2"/>
      <c r="C1" s="112">
        <v>2024</v>
      </c>
      <c r="D1" s="112"/>
      <c r="E1" s="112"/>
      <c r="F1" s="112"/>
      <c r="G1" s="113" t="s">
        <v>47</v>
      </c>
      <c r="H1" s="113"/>
      <c r="I1" s="113"/>
      <c r="J1" s="113"/>
      <c r="K1" s="113"/>
      <c r="L1" s="113"/>
      <c r="M1" s="113"/>
      <c r="N1" s="113"/>
      <c r="O1" s="113"/>
      <c r="P1" s="113"/>
      <c r="Q1" s="113"/>
      <c r="R1" s="3"/>
      <c r="S1" s="4"/>
      <c r="T1" s="114" t="s">
        <v>48</v>
      </c>
      <c r="U1" s="114"/>
      <c r="V1" s="114"/>
      <c r="W1" s="115"/>
    </row>
    <row r="2" spans="1:41" ht="15" customHeight="1" thickBot="1" x14ac:dyDescent="0.3">
      <c r="A2" s="6" t="s">
        <v>49</v>
      </c>
      <c r="B2" s="7" t="s">
        <v>50</v>
      </c>
      <c r="C2" s="38"/>
      <c r="D2" s="38"/>
      <c r="E2" s="38"/>
      <c r="F2" s="38"/>
      <c r="G2" s="38"/>
      <c r="H2" s="38"/>
      <c r="I2" s="38"/>
      <c r="J2" s="38"/>
      <c r="S2" s="39"/>
      <c r="U2" s="40"/>
      <c r="V2" s="40"/>
      <c r="W2" s="8"/>
    </row>
    <row r="3" spans="1:41" ht="15" customHeight="1" x14ac:dyDescent="0.25">
      <c r="A3" s="9" t="s">
        <v>51</v>
      </c>
      <c r="B3" s="10"/>
      <c r="C3" s="83" t="s">
        <v>52</v>
      </c>
      <c r="D3" s="84"/>
      <c r="E3" s="84"/>
      <c r="F3" s="84"/>
      <c r="G3" s="84"/>
      <c r="H3" s="84"/>
      <c r="I3" s="85"/>
      <c r="J3" s="41"/>
      <c r="K3" s="116" t="s">
        <v>53</v>
      </c>
      <c r="L3" s="117"/>
      <c r="M3" s="117"/>
      <c r="N3" s="117"/>
      <c r="O3" s="117"/>
      <c r="P3" s="117"/>
      <c r="Q3" s="118"/>
      <c r="S3" s="39"/>
      <c r="U3" s="40"/>
      <c r="V3" s="42"/>
      <c r="W3" s="11"/>
    </row>
    <row r="4" spans="1:41" ht="15" customHeight="1" x14ac:dyDescent="0.25">
      <c r="A4" s="6" t="s">
        <v>54</v>
      </c>
      <c r="B4" s="10"/>
      <c r="C4" s="12" t="s">
        <v>55</v>
      </c>
      <c r="D4" s="43" t="s">
        <v>56</v>
      </c>
      <c r="E4" s="43" t="s">
        <v>57</v>
      </c>
      <c r="F4" s="43" t="s">
        <v>58</v>
      </c>
      <c r="G4" s="43" t="s">
        <v>59</v>
      </c>
      <c r="H4" s="43" t="s">
        <v>60</v>
      </c>
      <c r="I4" s="13" t="s">
        <v>61</v>
      </c>
      <c r="J4" s="44"/>
      <c r="K4" s="12" t="s">
        <v>55</v>
      </c>
      <c r="L4" s="43" t="s">
        <v>56</v>
      </c>
      <c r="M4" s="43" t="s">
        <v>57</v>
      </c>
      <c r="N4" s="43" t="s">
        <v>58</v>
      </c>
      <c r="O4" s="43" t="s">
        <v>59</v>
      </c>
      <c r="P4" s="43" t="s">
        <v>60</v>
      </c>
      <c r="Q4" s="13" t="s">
        <v>61</v>
      </c>
      <c r="S4" s="39"/>
      <c r="U4" s="40"/>
      <c r="V4" s="45"/>
      <c r="W4" s="11"/>
    </row>
    <row r="5" spans="1:41" ht="15" customHeight="1" x14ac:dyDescent="0.25">
      <c r="A5" s="6"/>
      <c r="B5" s="10"/>
      <c r="C5" s="14">
        <f>IF(DAY(JanSun1)=1,"",IF(AND(YEAR(JanSun1+1)=AñoCalendario,MONTH(JanSun1+1)=1),JanSun1+1,""))</f>
        <v>45292</v>
      </c>
      <c r="D5" s="46">
        <f>IF(DAY(JanSun1)=1,"",IF(AND(YEAR(JanSun1+2)=AñoCalendario,MONTH(JanSun1+2)=1),JanSun1+2,""))</f>
        <v>45293</v>
      </c>
      <c r="E5" s="46">
        <f>IF(DAY(JanSun1)=1,"",IF(AND(YEAR(JanSun1+3)=AñoCalendario,MONTH(JanSun1+3)=1),JanSun1+3,""))</f>
        <v>45294</v>
      </c>
      <c r="F5" s="46">
        <f>IF(DAY(JanSun1)=1,"",IF(AND(YEAR(JanSun1+4)=AñoCalendario,MONTH(JanSun1+4)=1),JanSun1+4,""))</f>
        <v>45295</v>
      </c>
      <c r="G5" s="47">
        <f>IF(DAY(JanSun1)=1,"",IF(AND(YEAR(JanSun1+5)=AñoCalendario,MONTH(JanSun1+5)=1),JanSun1+5,""))</f>
        <v>45296</v>
      </c>
      <c r="H5" s="46">
        <f>IF(DAY(JanSun1)=1,"",IF(AND(YEAR(JanSun1+6)=AñoCalendario,MONTH(JanSun1+6)=1),JanSun1+6,""))</f>
        <v>45297</v>
      </c>
      <c r="I5" s="15">
        <f>IF(DAY(JanSun1)=1,IF(AND(YEAR(JanSun1)=AñoCalendario,MONTH(JanSun1)=1),JanSun1,""),IF(AND(YEAR(JanSun1+7)=AñoCalendario,MONTH(JanSun1+7)=1),JanSun1+7,""))</f>
        <v>45298</v>
      </c>
      <c r="J5" s="46"/>
      <c r="K5" s="14" t="str">
        <f>IF(DAY(FebSun1)=1,"",IF(AND(YEAR(FebSun1+1)=AñoCalendario,MONTH(FebSun1+1)=2),FebSun1+1,""))</f>
        <v/>
      </c>
      <c r="L5" s="46" t="str">
        <f>IF(DAY(FebSun1)=1,"",IF(AND(YEAR(FebSun1+2)=AñoCalendario,MONTH(FebSun1+2)=2),FebSun1+2,""))</f>
        <v/>
      </c>
      <c r="M5" s="46" t="str">
        <f>IF(DAY(FebSun1)=1,"",IF(AND(YEAR(FebSun1+3)=AñoCalendario,MONTH(FebSun1+3)=2),FebSun1+3,""))</f>
        <v/>
      </c>
      <c r="N5" s="46">
        <f>IF(DAY(FebSun1)=1,"",IF(AND(YEAR(FebSun1+4)=AñoCalendario,MONTH(FebSun1+4)=2),FebSun1+4,""))</f>
        <v>45323</v>
      </c>
      <c r="O5" s="47">
        <f>IF(DAY(FebSun1)=1,"",IF(AND(YEAR(FebSun1+5)=AñoCalendario,MONTH(FebSun1+5)=2),FebSun1+5,""))</f>
        <v>45324</v>
      </c>
      <c r="P5" s="46">
        <f>IF(DAY(FebSun1)=1,"",IF(AND(YEAR(FebSun1+6)=AñoCalendario,MONTH(FebSun1+6)=2),FebSun1+6,""))</f>
        <v>45325</v>
      </c>
      <c r="Q5" s="15">
        <f>IF(DAY(FebSun1)=1,IF(AND(YEAR(FebSun1)=AñoCalendario,MONTH(FebSun1)=2),FebSun1,""),IF(AND(YEAR(FebSun1+7)=AñoCalendario,MONTH(FebSun1+7)=2),FebSun1+7,""))</f>
        <v>45326</v>
      </c>
      <c r="S5" s="39"/>
      <c r="U5" s="40"/>
      <c r="V5" s="48"/>
      <c r="W5" s="11"/>
    </row>
    <row r="6" spans="1:41" ht="15" customHeight="1" x14ac:dyDescent="0.25">
      <c r="A6" s="6"/>
      <c r="B6" s="10"/>
      <c r="C6" s="16">
        <f>IF(DAY(JanSun1)=1,IF(AND(YEAR(JanSun1+1)=AñoCalendario,MONTH(JanSun1+1)=1),JanSun1+1,""),IF(AND(YEAR(JanSun1+8)=AñoCalendario,MONTH(JanSun1+8)=1),JanSun1+8,""))</f>
        <v>45299</v>
      </c>
      <c r="D6" s="46">
        <f>IF(DAY(JanSun1)=1,IF(AND(YEAR(JanSun1+2)=AñoCalendario,MONTH(JanSun1+2)=1),JanSun1+2,""),IF(AND(YEAR(JanSun1+9)=AñoCalendario,MONTH(JanSun1+9)=1),JanSun1+9,""))</f>
        <v>45300</v>
      </c>
      <c r="E6" s="46">
        <f>IF(DAY(JanSun1)=1,IF(AND(YEAR(JanSun1+3)=AñoCalendario,MONTH(JanSun1+3)=1),JanSun1+3,""),IF(AND(YEAR(JanSun1+10)=AñoCalendario,MONTH(JanSun1+10)=1),JanSun1+10,""))</f>
        <v>45301</v>
      </c>
      <c r="F6" s="46">
        <f>IF(DAY(JanSun1)=1,IF(AND(YEAR(JanSun1+4)=AñoCalendario,MONTH(JanSun1+4)=1),JanSun1+4,""),IF(AND(YEAR(JanSun1+11)=AñoCalendario,MONTH(JanSun1+11)=1),JanSun1+11,""))</f>
        <v>45302</v>
      </c>
      <c r="G6" s="46">
        <f>IF(DAY(JanSun1)=1,IF(AND(YEAR(JanSun1+5)=AñoCalendario,MONTH(JanSun1+5)=1),JanSun1+5,""),IF(AND(YEAR(JanSun1+12)=AñoCalendario,MONTH(JanSun1+12)=1),JanSun1+12,""))</f>
        <v>45303</v>
      </c>
      <c r="H6" s="46">
        <f>IF(DAY(JanSun1)=1,IF(AND(YEAR(JanSun1+6)=AñoCalendario,MONTH(JanSun1+6)=1),JanSun1+6,""),IF(AND(YEAR(JanSun1+13)=AñoCalendario,MONTH(JanSun1+13)=1),JanSun1+13,""))</f>
        <v>45304</v>
      </c>
      <c r="I6" s="15">
        <f>IF(DAY(JanSun1)=1,IF(AND(YEAR(JanSun1+7)=AñoCalendario,MONTH(JanSun1+7)=1),JanSun1+7,""),IF(AND(YEAR(JanSun1+14)=AñoCalendario,MONTH(JanSun1+14)=1),JanSun1+14,""))</f>
        <v>45305</v>
      </c>
      <c r="J6" s="46"/>
      <c r="K6" s="16">
        <f>IF(DAY(FebSun1)=1,IF(AND(YEAR(FebSun1+1)=AñoCalendario,MONTH(FebSun1+1)=2),FebSun1+1,""),IF(AND(YEAR(FebSun1+8)=AñoCalendario,MONTH(FebSun1+8)=2),FebSun1+8,""))</f>
        <v>45327</v>
      </c>
      <c r="L6" s="46">
        <f>IF(DAY(FebSun1)=1,IF(AND(YEAR(FebSun1+2)=AñoCalendario,MONTH(FebSun1+2)=2),FebSun1+2,""),IF(AND(YEAR(FebSun1+9)=AñoCalendario,MONTH(FebSun1+9)=2),FebSun1+9,""))</f>
        <v>45328</v>
      </c>
      <c r="M6" s="46">
        <f>IF(DAY(FebSun1)=1,IF(AND(YEAR(FebSun1+3)=AñoCalendario,MONTH(FebSun1+3)=2),FebSun1+3,""),IF(AND(YEAR(FebSun1+10)=AñoCalendario,MONTH(FebSun1+10)=2),FebSun1+10,""))</f>
        <v>45329</v>
      </c>
      <c r="N6" s="46">
        <f>IF(DAY(FebSun1)=1,IF(AND(YEAR(FebSun1+4)=AñoCalendario,MONTH(FebSun1+4)=2),FebSun1+4,""),IF(AND(YEAR(FebSun1+11)=AñoCalendario,MONTH(FebSun1+11)=2),FebSun1+11,""))</f>
        <v>45330</v>
      </c>
      <c r="O6" s="46">
        <f>IF(DAY(FebSun1)=1,IF(AND(YEAR(FebSun1+5)=AñoCalendario,MONTH(FebSun1+5)=2),FebSun1+5,""),IF(AND(YEAR(FebSun1+12)=AñoCalendario,MONTH(FebSun1+12)=2),FebSun1+12,""))</f>
        <v>45331</v>
      </c>
      <c r="P6" s="46">
        <f>IF(DAY(FebSun1)=1,IF(AND(YEAR(FebSun1+6)=AñoCalendario,MONTH(FebSun1+6)=2),FebSun1+6,""),IF(AND(YEAR(FebSun1+13)=AñoCalendario,MONTH(FebSun1+13)=2),FebSun1+13,""))</f>
        <v>45332</v>
      </c>
      <c r="Q6" s="15">
        <f>IF(DAY(FebSun1)=1,IF(AND(YEAR(FebSun1+7)=AñoCalendario,MONTH(FebSun1+7)=2),FebSun1+7,""),IF(AND(YEAR(FebSun1+14)=AñoCalendario,MONTH(FebSun1+14)=2),FebSun1+14,""))</f>
        <v>45333</v>
      </c>
      <c r="S6" s="39"/>
      <c r="W6" s="17"/>
    </row>
    <row r="7" spans="1:41" ht="15" customHeight="1" x14ac:dyDescent="0.25">
      <c r="B7" s="10"/>
      <c r="C7" s="14">
        <f>IF(DAY(JanSun1)=1,IF(AND(YEAR(JanSun1+8)=AñoCalendario,MONTH(JanSun1+8)=1),JanSun1+8,""),IF(AND(YEAR(JanSun1+15)=AñoCalendario,MONTH(JanSun1+15)=1),JanSun1+15,""))</f>
        <v>45306</v>
      </c>
      <c r="D7" s="46">
        <f>IF(DAY(JanSun1)=1,IF(AND(YEAR(JanSun1+9)=AñoCalendario,MONTH(JanSun1+9)=1),JanSun1+9,""),IF(AND(YEAR(JanSun1+16)=AñoCalendario,MONTH(JanSun1+16)=1),JanSun1+16,""))</f>
        <v>45307</v>
      </c>
      <c r="E7" s="46">
        <f>IF(DAY(JanSun1)=1,IF(AND(YEAR(JanSun1+10)=AñoCalendario,MONTH(JanSun1+10)=1),JanSun1+10,""),IF(AND(YEAR(JanSun1+17)=AñoCalendario,MONTH(JanSun1+17)=1),JanSun1+17,""))</f>
        <v>45308</v>
      </c>
      <c r="F7" s="46">
        <f>IF(DAY(JanSun1)=1,IF(AND(YEAR(JanSun1+11)=AñoCalendario,MONTH(JanSun1+11)=1),JanSun1+11,""),IF(AND(YEAR(JanSun1+18)=AñoCalendario,MONTH(JanSun1+18)=1),JanSun1+18,""))</f>
        <v>45309</v>
      </c>
      <c r="G7" s="49">
        <f>IF(DAY(JanSun1)=1,IF(AND(YEAR(JanSun1+12)=AñoCalendario,MONTH(JanSun1+12)=1),JanSun1+12,""),IF(AND(YEAR(JanSun1+19)=AñoCalendario,MONTH(JanSun1+19)=1),JanSun1+19,""))</f>
        <v>45310</v>
      </c>
      <c r="H7" s="46">
        <f>IF(DAY(JanSun1)=1,IF(AND(YEAR(JanSun1+13)=AñoCalendario,MONTH(JanSun1+13)=1),JanSun1+13,""),IF(AND(YEAR(JanSun1+20)=AñoCalendario,MONTH(JanSun1+20)=1),JanSun1+20,""))</f>
        <v>45311</v>
      </c>
      <c r="I7" s="15">
        <f>IF(DAY(JanSun1)=1,IF(AND(YEAR(JanSun1+14)=AñoCalendario,MONTH(JanSun1+14)=1),JanSun1+14,""),IF(AND(YEAR(JanSun1+21)=AñoCalendario,MONTH(JanSun1+21)=1),JanSun1+21,""))</f>
        <v>45312</v>
      </c>
      <c r="J7" s="46"/>
      <c r="K7" s="14">
        <f>IF(DAY(FebSun1)=1,IF(AND(YEAR(FebSun1+8)=AñoCalendario,MONTH(FebSun1+8)=2),FebSun1+8,""),IF(AND(YEAR(FebSun1+15)=AñoCalendario,MONTH(FebSun1+15)=2),FebSun1+15,""))</f>
        <v>45334</v>
      </c>
      <c r="L7" s="46">
        <f>IF(DAY(FebSun1)=1,IF(AND(YEAR(FebSun1+9)=AñoCalendario,MONTH(FebSun1+9)=2),FebSun1+9,""),IF(AND(YEAR(FebSun1+16)=AñoCalendario,MONTH(FebSun1+16)=2),FebSun1+16,""))</f>
        <v>45335</v>
      </c>
      <c r="M7" s="46">
        <f>IF(DAY(FebSun1)=1,IF(AND(YEAR(FebSun1+10)=AñoCalendario,MONTH(FebSun1+10)=2),FebSun1+10,""),IF(AND(YEAR(FebSun1+17)=AñoCalendario,MONTH(FebSun1+17)=2),FebSun1+17,""))</f>
        <v>45336</v>
      </c>
      <c r="N7" s="46">
        <f>IF(DAY(FebSun1)=1,IF(AND(YEAR(FebSun1+11)=AñoCalendario,MONTH(FebSun1+11)=2),FebSun1+11,""),IF(AND(YEAR(FebSun1+18)=AñoCalendario,MONTH(FebSun1+18)=2),FebSun1+18,""))</f>
        <v>45337</v>
      </c>
      <c r="O7" s="49">
        <f>IF(DAY(FebSun1)=1,IF(AND(YEAR(FebSun1+12)=AñoCalendario,MONTH(FebSun1+12)=2),FebSun1+12,""),IF(AND(YEAR(FebSun1+19)=AñoCalendario,MONTH(FebSun1+19)=2),FebSun1+19,""))</f>
        <v>45338</v>
      </c>
      <c r="P7" s="46">
        <f>IF(DAY(FebSun1)=1,IF(AND(YEAR(FebSun1+13)=AñoCalendario,MONTH(FebSun1+13)=2),FebSun1+13,""),IF(AND(YEAR(FebSun1+20)=AñoCalendario,MONTH(FebSun1+20)=2),FebSun1+20,""))</f>
        <v>45339</v>
      </c>
      <c r="Q7" s="15">
        <f>IF(DAY(FebSun1)=1,IF(AND(YEAR(FebSun1+14)=AñoCalendario,MONTH(FebSun1+14)=2),FebSun1+14,""),IF(AND(YEAR(FebSun1+21)=AñoCalendario,MONTH(FebSun1+21)=2),FebSun1+21,""))</f>
        <v>45340</v>
      </c>
      <c r="S7" s="39"/>
      <c r="U7" s="107" t="s">
        <v>62</v>
      </c>
      <c r="V7" s="108"/>
      <c r="W7" s="109"/>
    </row>
    <row r="8" spans="1:41" ht="15" customHeight="1" x14ac:dyDescent="0.25">
      <c r="B8" s="10"/>
      <c r="C8" s="16">
        <f>IF(DAY(JanSun1)=1,IF(AND(YEAR(JanSun1+15)=AñoCalendario,MONTH(JanSun1+15)=1),JanSun1+15,""),IF(AND(YEAR(JanSun1+22)=AñoCalendario,MONTH(JanSun1+22)=1),JanSun1+22,""))</f>
        <v>45313</v>
      </c>
      <c r="D8" s="46">
        <f>IF(DAY(JanSun1)=1,IF(AND(YEAR(JanSun1+16)=AñoCalendario,MONTH(JanSun1+16)=1),JanSun1+16,""),IF(AND(YEAR(JanSun1+23)=AñoCalendario,MONTH(JanSun1+23)=1),JanSun1+23,""))</f>
        <v>45314</v>
      </c>
      <c r="E8" s="46">
        <f>IF(DAY(JanSun1)=1,IF(AND(YEAR(JanSun1+17)=AñoCalendario,MONTH(JanSun1+17)=1),JanSun1+17,""),IF(AND(YEAR(JanSun1+24)=AñoCalendario,MONTH(JanSun1+24)=1),JanSun1+24,""))</f>
        <v>45315</v>
      </c>
      <c r="F8" s="46">
        <f>IF(DAY(JanSun1)=1,IF(AND(YEAR(JanSun1+18)=AñoCalendario,MONTH(JanSun1+18)=1),JanSun1+18,""),IF(AND(YEAR(JanSun1+25)=AñoCalendario,MONTH(JanSun1+25)=1),JanSun1+25,""))</f>
        <v>45316</v>
      </c>
      <c r="G8" s="46">
        <f>IF(DAY(JanSun1)=1,IF(AND(YEAR(JanSun1+19)=AñoCalendario,MONTH(JanSun1+19)=1),JanSun1+19,""),IF(AND(YEAR(JanSun1+26)=AñoCalendario,MONTH(JanSun1+26)=1),JanSun1+26,""))</f>
        <v>45317</v>
      </c>
      <c r="H8" s="46">
        <f>IF(DAY(JanSun1)=1,IF(AND(YEAR(JanSun1+20)=AñoCalendario,MONTH(JanSun1+20)=1),JanSun1+20,""),IF(AND(YEAR(JanSun1+27)=AñoCalendario,MONTH(JanSun1+27)=1),JanSun1+27,""))</f>
        <v>45318</v>
      </c>
      <c r="I8" s="15">
        <f>IF(DAY(JanSun1)=1,IF(AND(YEAR(JanSun1+21)=AñoCalendario,MONTH(JanSun1+21)=1),JanSun1+21,""),IF(AND(YEAR(JanSun1+28)=AñoCalendario,MONTH(JanSun1+28)=1),JanSun1+28,""))</f>
        <v>45319</v>
      </c>
      <c r="J8" s="46"/>
      <c r="K8" s="16">
        <f>IF(DAY(FebSun1)=1,IF(AND(YEAR(FebSun1+15)=AñoCalendario,MONTH(FebSun1+15)=2),FebSun1+15,""),IF(AND(YEAR(FebSun1+22)=AñoCalendario,MONTH(FebSun1+22)=2),FebSun1+22,""))</f>
        <v>45341</v>
      </c>
      <c r="L8" s="46">
        <f>IF(DAY(FebSun1)=1,IF(AND(YEAR(FebSun1+16)=AñoCalendario,MONTH(FebSun1+16)=2),FebSun1+16,""),IF(AND(YEAR(FebSun1+23)=AñoCalendario,MONTH(FebSun1+23)=2),FebSun1+23,""))</f>
        <v>45342</v>
      </c>
      <c r="M8" s="46">
        <f>IF(DAY(FebSun1)=1,IF(AND(YEAR(FebSun1+17)=AñoCalendario,MONTH(FebSun1+17)=2),FebSun1+17,""),IF(AND(YEAR(FebSun1+24)=AñoCalendario,MONTH(FebSun1+24)=2),FebSun1+24,""))</f>
        <v>45343</v>
      </c>
      <c r="N8" s="46">
        <f>IF(DAY(FebSun1)=1,IF(AND(YEAR(FebSun1+18)=AñoCalendario,MONTH(FebSun1+18)=2),FebSun1+18,""),IF(AND(YEAR(FebSun1+25)=AñoCalendario,MONTH(FebSun1+25)=2),FebSun1+25,""))</f>
        <v>45344</v>
      </c>
      <c r="O8" s="46">
        <f>IF(DAY(FebSun1)=1,IF(AND(YEAR(FebSun1+19)=AñoCalendario,MONTH(FebSun1+19)=2),FebSun1+19,""),IF(AND(YEAR(FebSun1+26)=AñoCalendario,MONTH(FebSun1+26)=2),FebSun1+26,""))</f>
        <v>45345</v>
      </c>
      <c r="P8" s="46">
        <f>IF(DAY(FebSun1)=1,IF(AND(YEAR(FebSun1+20)=AñoCalendario,MONTH(FebSun1+20)=2),FebSun1+20,""),IF(AND(YEAR(FebSun1+27)=AñoCalendario,MONTH(FebSun1+27)=2),FebSun1+27,""))</f>
        <v>45346</v>
      </c>
      <c r="Q8" s="15">
        <f>IF(DAY(FebSun1)=1,IF(AND(YEAR(FebSun1+21)=AñoCalendario,MONTH(FebSun1+21)=2),FebSun1+21,""),IF(AND(YEAR(FebSun1+28)=AñoCalendario,MONTH(FebSun1+28)=2),FebSun1+28,""))</f>
        <v>45347</v>
      </c>
      <c r="S8" s="39"/>
      <c r="U8" s="110"/>
      <c r="V8" s="110"/>
      <c r="W8" s="111"/>
    </row>
    <row r="9" spans="1:41" ht="15" customHeight="1" x14ac:dyDescent="0.25">
      <c r="B9" s="10"/>
      <c r="C9" s="14">
        <f>IF(DAY(JanSun1)=1,IF(AND(YEAR(JanSun1+22)=AñoCalendario,MONTH(JanSun1+22)=1),JanSun1+22,""),IF(AND(YEAR(JanSun1+29)=AñoCalendario,MONTH(JanSun1+29)=1),JanSun1+29,""))</f>
        <v>45320</v>
      </c>
      <c r="D9" s="46">
        <f>IF(DAY(JanSun1)=1,IF(AND(YEAR(JanSun1+23)=AñoCalendario,MONTH(JanSun1+23)=1),JanSun1+23,""),IF(AND(YEAR(JanSun1+30)=AñoCalendario,MONTH(JanSun1+30)=1),JanSun1+30,""))</f>
        <v>45321</v>
      </c>
      <c r="E9" s="46">
        <f>IF(DAY(JanSun1)=1,IF(AND(YEAR(JanSun1+24)=AñoCalendario,MONTH(JanSun1+24)=1),JanSun1+24,""),IF(AND(YEAR(JanSun1+31)=AñoCalendario,MONTH(JanSun1+31)=1),JanSun1+31,""))</f>
        <v>45322</v>
      </c>
      <c r="F9" s="46" t="str">
        <f>IF(DAY(JanSun1)=1,IF(AND(YEAR(JanSun1+25)=AñoCalendario,MONTH(JanSun1+25)=1),JanSun1+25,""),IF(AND(YEAR(JanSun1+32)=AñoCalendario,MONTH(JanSun1+32)=1),JanSun1+32,""))</f>
        <v/>
      </c>
      <c r="G9" s="46" t="str">
        <f>IF(DAY(JanSun1)=1,IF(AND(YEAR(JanSun1+26)=AñoCalendario,MONTH(JanSun1+26)=1),JanSun1+26,""),IF(AND(YEAR(JanSun1+33)=AñoCalendario,MONTH(JanSun1+33)=1),JanSun1+33,""))</f>
        <v/>
      </c>
      <c r="H9" s="46" t="str">
        <f>IF(DAY(JanSun1)=1,IF(AND(YEAR(JanSun1+27)=AñoCalendario,MONTH(JanSun1+27)=1),JanSun1+27,""),IF(AND(YEAR(JanSun1+34)=AñoCalendario,MONTH(JanSun1+34)=1),JanSun1+34,""))</f>
        <v/>
      </c>
      <c r="I9" s="15" t="str">
        <f>IF(DAY(JanSun1)=1,IF(AND(YEAR(JanSun1+28)=AñoCalendario,MONTH(JanSun1+28)=1),JanSun1+28,""),IF(AND(YEAR(JanSun1+35)=AñoCalendario,MONTH(JanSun1+35)=1),JanSun1+35,""))</f>
        <v/>
      </c>
      <c r="J9" s="46"/>
      <c r="K9" s="14">
        <f>IF(DAY(FebSun1)=1,IF(AND(YEAR(FebSun1+22)=AñoCalendario,MONTH(FebSun1+22)=2),FebSun1+22,""),IF(AND(YEAR(FebSun1+29)=AñoCalendario,MONTH(FebSun1+29)=2),FebSun1+29,""))</f>
        <v>45348</v>
      </c>
      <c r="L9" s="46">
        <f>IF(DAY(FebSun1)=1,IF(AND(YEAR(FebSun1+23)=AñoCalendario,MONTH(FebSun1+23)=2),FebSun1+23,""),IF(AND(YEAR(FebSun1+30)=AñoCalendario,MONTH(FebSun1+30)=2),FebSun1+30,""))</f>
        <v>45349</v>
      </c>
      <c r="M9" s="46">
        <f>IF(DAY(FebSun1)=1,IF(AND(YEAR(FebSun1+24)=AñoCalendario,MONTH(FebSun1+24)=2),FebSun1+24,""),IF(AND(YEAR(FebSun1+31)=AñoCalendario,MONTH(FebSun1+31)=2),FebSun1+31,""))</f>
        <v>45350</v>
      </c>
      <c r="N9" s="46">
        <f>IF(DAY(FebSun1)=1,IF(AND(YEAR(FebSun1+25)=AñoCalendario,MONTH(FebSun1+25)=2),FebSun1+25,""),IF(AND(YEAR(FebSun1+32)=AñoCalendario,MONTH(FebSun1+32)=2),FebSun1+32,""))</f>
        <v>45351</v>
      </c>
      <c r="O9" s="46" t="str">
        <f>IF(DAY(FebSun1)=1,IF(AND(YEAR(FebSun1+26)=AñoCalendario,MONTH(FebSun1+26)=2),FebSun1+26,""),IF(AND(YEAR(FebSun1+33)=AñoCalendario,MONTH(FebSun1+33)=2),FebSun1+33,""))</f>
        <v/>
      </c>
      <c r="P9" s="46" t="str">
        <f>IF(DAY(FebSun1)=1,IF(AND(YEAR(FebSun1+27)=AñoCalendario,MONTH(FebSun1+27)=2),FebSun1+27,""),IF(AND(YEAR(FebSun1+34)=AñoCalendario,MONTH(FebSun1+34)=2),FebSun1+34,""))</f>
        <v/>
      </c>
      <c r="Q9" s="15" t="str">
        <f>IF(DAY(FebSun1)=1,IF(AND(YEAR(FebSun1+28)=AñoCalendario,MONTH(FebSun1+28)=2),FebSun1+28,""),IF(AND(YEAR(FebSun1+35)=AñoCalendario,MONTH(FebSun1+35)=2),FebSun1+35,""))</f>
        <v/>
      </c>
      <c r="S9" s="39"/>
      <c r="W9" s="17"/>
    </row>
    <row r="10" spans="1:41" ht="15" customHeight="1" thickBot="1" x14ac:dyDescent="0.3">
      <c r="B10" s="10"/>
      <c r="C10" s="18" t="str">
        <f>IF(DAY(JanSun1)=1,IF(AND(YEAR(JanSun1+29)=AñoCalendario,MONTH(JanSun1+29)=1),JanSun1+29,""),IF(AND(YEAR(JanSun1+36)=AñoCalendario,MONTH(JanSun1+36)=1),JanSun1+36,""))</f>
        <v/>
      </c>
      <c r="D10" s="19" t="str">
        <f>IF(DAY(JanSun1)=1,IF(AND(YEAR(JanSun1+30)=AñoCalendario,MONTH(JanSun1+30)=1),JanSun1+30,""),IF(AND(YEAR(JanSun1+37)=AñoCalendario,MONTH(JanSun1+37)=1),JanSun1+37,""))</f>
        <v/>
      </c>
      <c r="E10" s="19" t="str">
        <f>IF(DAY(JanSun1)=1,IF(AND(YEAR(JanSun1+31)=AñoCalendario,MONTH(JanSun1+31)=1),JanSun1+31,""),IF(AND(YEAR(JanSun1+38)=AñoCalendario,MONTH(JanSun1+38)=1),JanSun1+38,""))</f>
        <v/>
      </c>
      <c r="F10" s="19" t="str">
        <f>IF(DAY(JanSun1)=1,IF(AND(YEAR(JanSun1+32)=AñoCalendario,MONTH(JanSun1+32)=1),JanSun1+32,""),IF(AND(YEAR(JanSun1+39)=AñoCalendario,MONTH(JanSun1+39)=1),JanSun1+39,""))</f>
        <v/>
      </c>
      <c r="G10" s="19" t="str">
        <f>IF(DAY(JanSun1)=1,IF(AND(YEAR(JanSun1+33)=AñoCalendario,MONTH(JanSun1+33)=1),JanSun1+33,""),IF(AND(YEAR(JanSun1+40)=AñoCalendario,MONTH(JanSun1+40)=1),JanSun1+40,""))</f>
        <v/>
      </c>
      <c r="H10" s="19" t="str">
        <f>IF(DAY(JanSun1)=1,IF(AND(YEAR(JanSun1+34)=AñoCalendario,MONTH(JanSun1+34)=1),JanSun1+34,""),IF(AND(YEAR(JanSun1+41)=AñoCalendario,MONTH(JanSun1+41)=1),JanSun1+41,""))</f>
        <v/>
      </c>
      <c r="I10" s="20" t="str">
        <f>IF(DAY(JanSun1)=1,IF(AND(YEAR(JanSun1+35)=AñoCalendario,MONTH(JanSun1+35)=1),JanSun1+35,""),IF(AND(YEAR(JanSun1+42)=AñoCalendario,MONTH(JanSun1+42)=1),JanSun1+42,""))</f>
        <v/>
      </c>
      <c r="J10" s="46"/>
      <c r="K10" s="18" t="str">
        <f>IF(DAY(FebSun1)=1,IF(AND(YEAR(FebSun1+29)=AñoCalendario,MONTH(FebSun1+29)=2),FebSun1+29,""),IF(AND(YEAR(FebSun1+36)=AñoCalendario,MONTH(FebSun1+36)=2),FebSun1+36,""))</f>
        <v/>
      </c>
      <c r="L10" s="19" t="str">
        <f>IF(DAY(FebSun1)=1,IF(AND(YEAR(FebSun1+30)=AñoCalendario,MONTH(FebSun1+30)=2),FebSun1+30,""),IF(AND(YEAR(FebSun1+37)=AñoCalendario,MONTH(FebSun1+37)=2),FebSun1+37,""))</f>
        <v/>
      </c>
      <c r="M10" s="19" t="str">
        <f>IF(DAY(FebSun1)=1,IF(AND(YEAR(FebSun1+31)=AñoCalendario,MONTH(FebSun1+31)=2),FebSun1+31,""),IF(AND(YEAR(FebSun1+38)=AñoCalendario,MONTH(FebSun1+38)=2),FebSun1+38,""))</f>
        <v/>
      </c>
      <c r="N10" s="19" t="str">
        <f>IF(DAY(FebSun1)=1,IF(AND(YEAR(FebSun1+32)=AñoCalendario,MONTH(FebSun1+32)=2),FebSun1+32,""),IF(AND(YEAR(FebSun1+39)=AñoCalendario,MONTH(FebSun1+39)=2),FebSun1+39,""))</f>
        <v/>
      </c>
      <c r="O10" s="19" t="str">
        <f>IF(DAY(FebSun1)=1,IF(AND(YEAR(FebSun1+33)=AñoCalendario,MONTH(FebSun1+33)=2),FebSun1+33,""),IF(AND(YEAR(FebSun1+40)=AñoCalendario,MONTH(FebSun1+40)=2),FebSun1+40,""))</f>
        <v/>
      </c>
      <c r="P10" s="19" t="str">
        <f>IF(DAY(FebSun1)=1,IF(AND(YEAR(FebSun1+34)=AñoCalendario,MONTH(FebSun1+34)=2),FebSun1+34,""),IF(AND(YEAR(FebSun1+41)=AñoCalendario,MONTH(FebSun1+41)=2),FebSun1+41,""))</f>
        <v/>
      </c>
      <c r="Q10" s="20" t="str">
        <f>IF(DAY(FebSun1)=1,IF(AND(YEAR(FebSun1+35)=AñoCalendario,MONTH(FebSun1+35)=2),FebSun1+35,""),IF(AND(YEAR(FebSun1+42)=AñoCalendario,MONTH(FebSun1+42)=2),FebSun1+42,""))</f>
        <v/>
      </c>
      <c r="S10" s="39"/>
      <c r="U10" s="50"/>
      <c r="V10" s="45" t="s">
        <v>63</v>
      </c>
      <c r="W10" s="11"/>
    </row>
    <row r="11" spans="1:41" ht="15" customHeight="1" thickBot="1" x14ac:dyDescent="0.3">
      <c r="B11" s="10"/>
      <c r="C11" s="46"/>
      <c r="D11" s="46"/>
      <c r="E11" s="46"/>
      <c r="F11" s="46"/>
      <c r="G11" s="46"/>
      <c r="H11" s="46"/>
      <c r="I11" s="46"/>
      <c r="J11" s="46"/>
      <c r="K11" s="46"/>
      <c r="L11" s="46"/>
      <c r="M11" s="46"/>
      <c r="N11" s="46"/>
      <c r="O11" s="46"/>
      <c r="P11" s="46"/>
      <c r="Q11" s="46"/>
      <c r="S11" s="39"/>
      <c r="U11" s="51"/>
      <c r="V11" s="45" t="s">
        <v>64</v>
      </c>
      <c r="W11" s="11"/>
    </row>
    <row r="12" spans="1:41" ht="15" customHeight="1" x14ac:dyDescent="0.25">
      <c r="A12" s="6" t="s">
        <v>65</v>
      </c>
      <c r="B12" s="10"/>
      <c r="C12" s="83" t="s">
        <v>66</v>
      </c>
      <c r="D12" s="84"/>
      <c r="E12" s="84"/>
      <c r="F12" s="84"/>
      <c r="G12" s="84"/>
      <c r="H12" s="84"/>
      <c r="I12" s="85"/>
      <c r="J12" s="52"/>
      <c r="K12" s="83" t="s">
        <v>67</v>
      </c>
      <c r="L12" s="84"/>
      <c r="M12" s="84"/>
      <c r="N12" s="84"/>
      <c r="O12" s="84"/>
      <c r="P12" s="84"/>
      <c r="Q12" s="85"/>
      <c r="S12" s="53"/>
      <c r="T12" s="21"/>
      <c r="U12" s="54"/>
      <c r="V12" s="45" t="s">
        <v>68</v>
      </c>
      <c r="W12" s="11"/>
      <c r="X12" s="21"/>
      <c r="Y12" s="21"/>
      <c r="AA12" s="21"/>
      <c r="AB12" s="21"/>
      <c r="AC12" s="21"/>
      <c r="AD12" s="21"/>
      <c r="AE12" s="21"/>
      <c r="AF12" s="21"/>
      <c r="AG12" s="21"/>
      <c r="AI12" s="21"/>
      <c r="AJ12" s="21"/>
      <c r="AK12" s="21"/>
      <c r="AL12" s="21"/>
      <c r="AM12" s="21"/>
      <c r="AN12" s="21"/>
      <c r="AO12" s="21"/>
    </row>
    <row r="13" spans="1:41" ht="15" customHeight="1" x14ac:dyDescent="0.25">
      <c r="A13" s="6" t="s">
        <v>69</v>
      </c>
      <c r="B13" s="10"/>
      <c r="C13" s="12" t="s">
        <v>55</v>
      </c>
      <c r="D13" s="43" t="s">
        <v>56</v>
      </c>
      <c r="E13" s="43" t="s">
        <v>70</v>
      </c>
      <c r="F13" s="43" t="s">
        <v>58</v>
      </c>
      <c r="G13" s="43" t="s">
        <v>59</v>
      </c>
      <c r="H13" s="43" t="s">
        <v>60</v>
      </c>
      <c r="I13" s="13" t="s">
        <v>61</v>
      </c>
      <c r="J13" s="41"/>
      <c r="K13" s="12" t="s">
        <v>55</v>
      </c>
      <c r="L13" s="43" t="s">
        <v>56</v>
      </c>
      <c r="M13" s="43" t="s">
        <v>70</v>
      </c>
      <c r="N13" s="43" t="s">
        <v>58</v>
      </c>
      <c r="O13" s="43" t="s">
        <v>59</v>
      </c>
      <c r="P13" s="43" t="s">
        <v>60</v>
      </c>
      <c r="Q13" s="13" t="s">
        <v>61</v>
      </c>
      <c r="S13" s="39"/>
      <c r="U13" s="40"/>
      <c r="V13" s="42"/>
      <c r="W13" s="11"/>
    </row>
    <row r="14" spans="1:41" ht="15" customHeight="1" x14ac:dyDescent="0.25">
      <c r="B14" s="10"/>
      <c r="C14" s="14" t="str">
        <f>IF(DAY(MarSun1)=1,"",IF(AND(YEAR(MarSun1+1)=AñoCalendario,MONTH(MarSun1+1)=3),MarSun1+1,""))</f>
        <v/>
      </c>
      <c r="D14" s="46" t="str">
        <f>IF(DAY(MarSun1)=1,"",IF(AND(YEAR(MarSun1+2)=AñoCalendario,MONTH(MarSun1+2)=3),MarSun1+2,""))</f>
        <v/>
      </c>
      <c r="E14" s="46" t="str">
        <f>IF(DAY(MarSun1)=1,"",IF(AND(YEAR(MarSun1+3)=AñoCalendario,MONTH(MarSun1+3)=3),MarSun1+3,""))</f>
        <v/>
      </c>
      <c r="F14" s="46" t="str">
        <f>IF(DAY(MarSun1)=1,"",IF(AND(YEAR(MarSun1+4)=AñoCalendario,MONTH(MarSun1+4)=3),MarSun1+4,""))</f>
        <v/>
      </c>
      <c r="G14" s="47">
        <f>IF(DAY(MarSun1)=1,"",IF(AND(YEAR(MarSun1+5)=AñoCalendario,MONTH(MarSun1+5)=3),MarSun1+5,""))</f>
        <v>45352</v>
      </c>
      <c r="H14" s="46">
        <f>IF(DAY(MarSun1)=1,"",IF(AND(YEAR(MarSun1+6)=AñoCalendario,MONTH(MarSun1+6)=3),MarSun1+6,""))</f>
        <v>45353</v>
      </c>
      <c r="I14" s="15">
        <f>IF(DAY(MarSun1)=1,IF(AND(YEAR(MarSun1)=AñoCalendario,MONTH(MarSun1)=3),MarSun1,""),IF(AND(YEAR(MarSun1+7)=AñoCalendario,MONTH(MarSun1+7)=3),MarSun1+7,""))</f>
        <v>45354</v>
      </c>
      <c r="J14" s="44"/>
      <c r="K14" s="14">
        <f>IF(DAY(AbrDom1)=1,"",IF(AND(YEAR(AbrDom1+1)=AñoCalendario,MONTH(AbrDom1+1)=4),AbrDom1+1,""))</f>
        <v>45383</v>
      </c>
      <c r="L14" s="46">
        <f>IF(DAY(AbrDom1)=1,"",IF(AND(YEAR(AbrDom1+2)=AñoCalendario,MONTH(AbrDom1+2)=4),AbrDom1+2,""))</f>
        <v>45384</v>
      </c>
      <c r="M14" s="46">
        <f>IF(DAY(AbrDom1)=1,"",IF(AND(YEAR(AbrDom1+3)=AñoCalendario,MONTH(AbrDom1+3)=4),AbrDom1+3,""))</f>
        <v>45385</v>
      </c>
      <c r="N14" s="46">
        <f>IF(DAY(AbrDom1)=1,"",IF(AND(YEAR(AbrDom1+4)=AñoCalendario,MONTH(AbrDom1+4)=4),AbrDom1+4,""))</f>
        <v>45386</v>
      </c>
      <c r="O14" s="47">
        <f>IF(DAY(AbrDom1)=1,"",IF(AND(YEAR(AbrDom1+5)=AñoCalendario,MONTH(AbrDom1+5)=4),AbrDom1+5,""))</f>
        <v>45387</v>
      </c>
      <c r="P14" s="46">
        <f>IF(DAY(AbrDom1)=1,"",IF(AND(YEAR(AbrDom1+6)=AñoCalendario,MONTH(AbrDom1+6)=4),AbrDom1+6,""))</f>
        <v>45388</v>
      </c>
      <c r="Q14" s="15">
        <f>IF(DAY(AbrDom1)=1,IF(AND(YEAR(AbrDom1)=AñoCalendario,MONTH(AbrDom1)=4),AbrDom1,""),IF(AND(YEAR(AbrDom1+7)=AñoCalendario,MONTH(AbrDom1+7)=4),AbrDom1+7,""))</f>
        <v>45389</v>
      </c>
      <c r="S14" s="39"/>
      <c r="U14" s="40"/>
      <c r="V14" s="45"/>
      <c r="W14" s="11"/>
    </row>
    <row r="15" spans="1:41" ht="15" customHeight="1" x14ac:dyDescent="0.25">
      <c r="A15" s="6"/>
      <c r="B15" s="10"/>
      <c r="C15" s="16">
        <f>IF(DAY(MarSun1)=1,IF(AND(YEAR(MarSun1+1)=AñoCalendario,MONTH(MarSun1+1)=3),MarSun1+1,""),IF(AND(YEAR(MarSun1+8)=AñoCalendario,MONTH(MarSun1+8)=3),MarSun1+8,""))</f>
        <v>45355</v>
      </c>
      <c r="D15" s="46">
        <f>IF(DAY(MarSun1)=1,IF(AND(YEAR(MarSun1+2)=AñoCalendario,MONTH(MarSun1+2)=3),MarSun1+2,""),IF(AND(YEAR(MarSun1+9)=AñoCalendario,MONTH(MarSun1+9)=3),MarSun1+9,""))</f>
        <v>45356</v>
      </c>
      <c r="E15" s="46">
        <f>IF(DAY(MarSun1)=1,IF(AND(YEAR(MarSun1+3)=AñoCalendario,MONTH(MarSun1+3)=3),MarSun1+3,""),IF(AND(YEAR(MarSun1+10)=AñoCalendario,MONTH(MarSun1+10)=3),MarSun1+10,""))</f>
        <v>45357</v>
      </c>
      <c r="F15" s="46">
        <f>IF(DAY(MarSun1)=1,IF(AND(YEAR(MarSun1+4)=AñoCalendario,MONTH(MarSun1+4)=3),MarSun1+4,""),IF(AND(YEAR(MarSun1+11)=AñoCalendario,MONTH(MarSun1+11)=3),MarSun1+11,""))</f>
        <v>45358</v>
      </c>
      <c r="G15" s="46">
        <f>IF(DAY(MarSun1)=1,IF(AND(YEAR(MarSun1+5)=AñoCalendario,MONTH(MarSun1+5)=3),MarSun1+5,""),IF(AND(YEAR(MarSun1+12)=AñoCalendario,MONTH(MarSun1+12)=3),MarSun1+12,""))</f>
        <v>45359</v>
      </c>
      <c r="H15" s="46">
        <f>IF(DAY(MarSun1)=1,IF(AND(YEAR(MarSun1+6)=AñoCalendario,MONTH(MarSun1+6)=3),MarSun1+6,""),IF(AND(YEAR(MarSun1+13)=AñoCalendario,MONTH(MarSun1+13)=3),MarSun1+13,""))</f>
        <v>45360</v>
      </c>
      <c r="I15" s="15">
        <f>IF(DAY(MarSun1)=1,IF(AND(YEAR(MarSun1+7)=AñoCalendario,MONTH(MarSun1+7)=3),MarSun1+7,""),IF(AND(YEAR(MarSun1+14)=AñoCalendario,MONTH(MarSun1+14)=3),MarSun1+14,""))</f>
        <v>45361</v>
      </c>
      <c r="J15" s="46"/>
      <c r="K15" s="16">
        <f>IF(DAY(AbrDom1)=1,IF(AND(YEAR(AbrDom1+1)=AñoCalendario,MONTH(AbrDom1+1)=4),AbrDom1+1,""),IF(AND(YEAR(AbrDom1+8)=AñoCalendario,MONTH(AbrDom1+8)=4),AbrDom1+8,""))</f>
        <v>45390</v>
      </c>
      <c r="L15" s="46">
        <f>IF(DAY(AbrDom1)=1,IF(AND(YEAR(AbrDom1+2)=AñoCalendario,MONTH(AbrDom1+2)=4),AbrDom1+2,""),IF(AND(YEAR(AbrDom1+9)=AñoCalendario,MONTH(AbrDom1+9)=4),AbrDom1+9,""))</f>
        <v>45391</v>
      </c>
      <c r="M15" s="46">
        <f>IF(DAY(AbrDom1)=1,IF(AND(YEAR(AbrDom1+3)=AñoCalendario,MONTH(AbrDom1+3)=4),AbrDom1+3,""),IF(AND(YEAR(AbrDom1+10)=AñoCalendario,MONTH(AbrDom1+10)=4),AbrDom1+10,""))</f>
        <v>45392</v>
      </c>
      <c r="N15" s="46">
        <f>IF(DAY(AbrDom1)=1,IF(AND(YEAR(AbrDom1+4)=AñoCalendario,MONTH(AbrDom1+4)=4),AbrDom1+4,""),IF(AND(YEAR(AbrDom1+11)=AñoCalendario,MONTH(AbrDom1+11)=4),AbrDom1+11,""))</f>
        <v>45393</v>
      </c>
      <c r="O15" s="46">
        <f>IF(DAY(AbrDom1)=1,IF(AND(YEAR(AbrDom1+5)=AñoCalendario,MONTH(AbrDom1+5)=4),AbrDom1+5,""),IF(AND(YEAR(AbrDom1+12)=AñoCalendario,MONTH(AbrDom1+12)=4),AbrDom1+12,""))</f>
        <v>45394</v>
      </c>
      <c r="P15" s="46">
        <f>IF(DAY(AbrDom1)=1,IF(AND(YEAR(AbrDom1+6)=AñoCalendario,MONTH(AbrDom1+6)=4),AbrDom1+6,""),IF(AND(YEAR(AbrDom1+13)=AñoCalendario,MONTH(AbrDom1+13)=4),AbrDom1+13,""))</f>
        <v>45395</v>
      </c>
      <c r="Q15" s="15">
        <f>IF(DAY(AbrDom1)=1,IF(AND(YEAR(AbrDom1+7)=AñoCalendario,MONTH(AbrDom1+7)=4),AbrDom1+7,""),IF(AND(YEAR(AbrDom1+14)=AñoCalendario,MONTH(AbrDom1+14)=4),AbrDom1+14,""))</f>
        <v>45396</v>
      </c>
      <c r="S15" s="39"/>
      <c r="U15" s="22" t="s">
        <v>71</v>
      </c>
      <c r="V15" s="23" t="s">
        <v>72</v>
      </c>
      <c r="W15" s="24" t="s">
        <v>73</v>
      </c>
    </row>
    <row r="16" spans="1:41" ht="15" customHeight="1" x14ac:dyDescent="0.25">
      <c r="B16" s="10"/>
      <c r="C16" s="14">
        <f>IF(DAY(MarSun1)=1,IF(AND(YEAR(MarSun1+8)=AñoCalendario,MONTH(MarSun1+8)=3),MarSun1+8,""),IF(AND(YEAR(MarSun1+15)=AñoCalendario,MONTH(MarSun1+15)=3),MarSun1+15,""))</f>
        <v>45362</v>
      </c>
      <c r="D16" s="46">
        <f>IF(DAY(MarSun1)=1,IF(AND(YEAR(MarSun1+9)=AñoCalendario,MONTH(MarSun1+9)=3),MarSun1+9,""),IF(AND(YEAR(MarSun1+16)=AñoCalendario,MONTH(MarSun1+16)=3),MarSun1+16,""))</f>
        <v>45363</v>
      </c>
      <c r="E16" s="46">
        <f>IF(DAY(MarSun1)=1,IF(AND(YEAR(MarSun1+10)=AñoCalendario,MONTH(MarSun1+10)=3),MarSun1+10,""),IF(AND(YEAR(MarSun1+17)=AñoCalendario,MONTH(MarSun1+17)=3),MarSun1+17,""))</f>
        <v>45364</v>
      </c>
      <c r="F16" s="46">
        <f>IF(DAY(MarSun1)=1,IF(AND(YEAR(MarSun1+11)=AñoCalendario,MONTH(MarSun1+11)=3),MarSun1+11,""),IF(AND(YEAR(MarSun1+18)=AñoCalendario,MONTH(MarSun1+18)=3),MarSun1+18,""))</f>
        <v>45365</v>
      </c>
      <c r="G16" s="49">
        <f>IF(DAY(MarSun1)=1,IF(AND(YEAR(MarSun1+12)=AñoCalendario,MONTH(MarSun1+12)=3),MarSun1+12,""),IF(AND(YEAR(MarSun1+19)=AñoCalendario,MONTH(MarSun1+19)=3),MarSun1+19,""))</f>
        <v>45366</v>
      </c>
      <c r="H16" s="46">
        <f>IF(DAY(MarSun1)=1,IF(AND(YEAR(MarSun1+13)=AñoCalendario,MONTH(MarSun1+13)=3),MarSun1+13,""),IF(AND(YEAR(MarSun1+20)=AñoCalendario,MONTH(MarSun1+20)=3),MarSun1+20,""))</f>
        <v>45367</v>
      </c>
      <c r="I16" s="15">
        <f>IF(DAY(MarSun1)=1,IF(AND(YEAR(MarSun1+14)=AñoCalendario,MONTH(MarSun1+14)=3),MarSun1+14,""),IF(AND(YEAR(MarSun1+21)=AñoCalendario,MONTH(MarSun1+21)=3),MarSun1+21,""))</f>
        <v>45368</v>
      </c>
      <c r="J16" s="46"/>
      <c r="K16" s="14">
        <f>IF(DAY(AbrDom1)=1,IF(AND(YEAR(AbrDom1+8)=AñoCalendario,MONTH(AbrDom1+8)=4),AbrDom1+8,""),IF(AND(YEAR(AbrDom1+15)=AñoCalendario,MONTH(AbrDom1+15)=4),AbrDom1+15,""))</f>
        <v>45397</v>
      </c>
      <c r="L16" s="46">
        <f>IF(DAY(AbrDom1)=1,IF(AND(YEAR(AbrDom1+9)=AñoCalendario,MONTH(AbrDom1+9)=4),AbrDom1+9,""),IF(AND(YEAR(AbrDom1+16)=AñoCalendario,MONTH(AbrDom1+16)=4),AbrDom1+16,""))</f>
        <v>45398</v>
      </c>
      <c r="M16" s="46">
        <f>IF(DAY(AbrDom1)=1,IF(AND(YEAR(AbrDom1+10)=AñoCalendario,MONTH(AbrDom1+10)=4),AbrDom1+10,""),IF(AND(YEAR(AbrDom1+17)=AñoCalendario,MONTH(AbrDom1+17)=4),AbrDom1+17,""))</f>
        <v>45399</v>
      </c>
      <c r="N16" s="46">
        <f>IF(DAY(AbrDom1)=1,IF(AND(YEAR(AbrDom1+11)=AñoCalendario,MONTH(AbrDom1+11)=4),AbrDom1+11,""),IF(AND(YEAR(AbrDom1+18)=AñoCalendario,MONTH(AbrDom1+18)=4),AbrDom1+18,""))</f>
        <v>45400</v>
      </c>
      <c r="O16" s="49">
        <f>IF(DAY(AbrDom1)=1,IF(AND(YEAR(AbrDom1+12)=AñoCalendario,MONTH(AbrDom1+12)=4),AbrDom1+12,""),IF(AND(YEAR(AbrDom1+19)=AñoCalendario,MONTH(AbrDom1+19)=4),AbrDom1+19,""))</f>
        <v>45401</v>
      </c>
      <c r="P16" s="46">
        <f>IF(DAY(AbrDom1)=1,IF(AND(YEAR(AbrDom1+13)=AñoCalendario,MONTH(AbrDom1+13)=4),AbrDom1+13,""),IF(AND(YEAR(AbrDom1+20)=AñoCalendario,MONTH(AbrDom1+20)=4),AbrDom1+20,""))</f>
        <v>45402</v>
      </c>
      <c r="Q16" s="15">
        <f>IF(DAY(AbrDom1)=1,IF(AND(YEAR(AbrDom1+14)=AñoCalendario,MONTH(AbrDom1+14)=4),AbrDom1+14,""),IF(AND(YEAR(AbrDom1+21)=AñoCalendario,MONTH(AbrDom1+21)=4),AbrDom1+21,""))</f>
        <v>45403</v>
      </c>
      <c r="S16" s="39"/>
      <c r="U16" s="97" t="s">
        <v>74</v>
      </c>
      <c r="V16" s="100" t="s">
        <v>75</v>
      </c>
      <c r="W16" s="93" t="s">
        <v>76</v>
      </c>
    </row>
    <row r="17" spans="1:41" ht="15" customHeight="1" x14ac:dyDescent="0.25">
      <c r="B17" s="10"/>
      <c r="C17" s="16">
        <f>IF(DAY(MarSun1)=1,IF(AND(YEAR(MarSun1+15)=AñoCalendario,MONTH(MarSun1+15)=3),MarSun1+15,""),IF(AND(YEAR(MarSun1+22)=AñoCalendario,MONTH(MarSun1+22)=3),MarSun1+22,""))</f>
        <v>45369</v>
      </c>
      <c r="D17" s="46">
        <f>IF(DAY(MarSun1)=1,IF(AND(YEAR(MarSun1+16)=AñoCalendario,MONTH(MarSun1+16)=3),MarSun1+16,""),IF(AND(YEAR(MarSun1+23)=AñoCalendario,MONTH(MarSun1+23)=3),MarSun1+23,""))</f>
        <v>45370</v>
      </c>
      <c r="E17" s="46">
        <f>IF(DAY(MarSun1)=1,IF(AND(YEAR(MarSun1+17)=AñoCalendario,MONTH(MarSun1+17)=3),MarSun1+17,""),IF(AND(YEAR(MarSun1+24)=AñoCalendario,MONTH(MarSun1+24)=3),MarSun1+24,""))</f>
        <v>45371</v>
      </c>
      <c r="F17" s="46">
        <f>IF(DAY(MarSun1)=1,IF(AND(YEAR(MarSun1+18)=AñoCalendario,MONTH(MarSun1+18)=3),MarSun1+18,""),IF(AND(YEAR(MarSun1+25)=AñoCalendario,MONTH(MarSun1+25)=3),MarSun1+25,""))</f>
        <v>45372</v>
      </c>
      <c r="G17" s="46">
        <f>IF(DAY(MarSun1)=1,IF(AND(YEAR(MarSun1+19)=AñoCalendario,MONTH(MarSun1+19)=3),MarSun1+19,""),IF(AND(YEAR(MarSun1+26)=AñoCalendario,MONTH(MarSun1+26)=3),MarSun1+26,""))</f>
        <v>45373</v>
      </c>
      <c r="H17" s="46">
        <f>IF(DAY(MarSun1)=1,IF(AND(YEAR(MarSun1+20)=AñoCalendario,MONTH(MarSun1+20)=3),MarSun1+20,""),IF(AND(YEAR(MarSun1+27)=AñoCalendario,MONTH(MarSun1+27)=3),MarSun1+27,""))</f>
        <v>45374</v>
      </c>
      <c r="I17" s="15">
        <f>IF(DAY(MarSun1)=1,IF(AND(YEAR(MarSun1+21)=AñoCalendario,MONTH(MarSun1+21)=3),MarSun1+21,""),IF(AND(YEAR(MarSun1+28)=AñoCalendario,MONTH(MarSun1+28)=3),MarSun1+28,""))</f>
        <v>45375</v>
      </c>
      <c r="J17" s="46"/>
      <c r="K17" s="16">
        <f>IF(DAY(AbrDom1)=1,IF(AND(YEAR(AbrDom1+15)=AñoCalendario,MONTH(AbrDom1+15)=4),AbrDom1+15,""),IF(AND(YEAR(AbrDom1+22)=AñoCalendario,MONTH(AbrDom1+22)=4),AbrDom1+22,""))</f>
        <v>45404</v>
      </c>
      <c r="L17" s="46">
        <f>IF(DAY(AbrDom1)=1,IF(AND(YEAR(AbrDom1+16)=AñoCalendario,MONTH(AbrDom1+16)=4),AbrDom1+16,""),IF(AND(YEAR(AbrDom1+23)=AñoCalendario,MONTH(AbrDom1+23)=4),AbrDom1+23,""))</f>
        <v>45405</v>
      </c>
      <c r="M17" s="46">
        <f>IF(DAY(AbrDom1)=1,IF(AND(YEAR(AbrDom1+17)=AñoCalendario,MONTH(AbrDom1+17)=4),AbrDom1+17,""),IF(AND(YEAR(AbrDom1+24)=AñoCalendario,MONTH(AbrDom1+24)=4),AbrDom1+24,""))</f>
        <v>45406</v>
      </c>
      <c r="N17" s="46">
        <f>IF(DAY(AbrDom1)=1,IF(AND(YEAR(AbrDom1+18)=AñoCalendario,MONTH(AbrDom1+18)=4),AbrDom1+18,""),IF(AND(YEAR(AbrDom1+25)=AñoCalendario,MONTH(AbrDom1+25)=4),AbrDom1+25,""))</f>
        <v>45407</v>
      </c>
      <c r="O17" s="46">
        <f>IF(DAY(AbrDom1)=1,IF(AND(YEAR(AbrDom1+19)=AñoCalendario,MONTH(AbrDom1+19)=4),AbrDom1+19,""),IF(AND(YEAR(AbrDom1+26)=AñoCalendario,MONTH(AbrDom1+26)=4),AbrDom1+26,""))</f>
        <v>45408</v>
      </c>
      <c r="P17" s="46">
        <f>IF(DAY(AbrDom1)=1,IF(AND(YEAR(AbrDom1+20)=AñoCalendario,MONTH(AbrDom1+20)=4),AbrDom1+20,""),IF(AND(YEAR(AbrDom1+27)=AñoCalendario,MONTH(AbrDom1+27)=4),AbrDom1+27,""))</f>
        <v>45409</v>
      </c>
      <c r="Q17" s="15">
        <f>IF(DAY(AbrDom1)=1,IF(AND(YEAR(AbrDom1+21)=AñoCalendario,MONTH(AbrDom1+21)=4),AbrDom1+21,""),IF(AND(YEAR(AbrDom1+28)=AñoCalendario,MONTH(AbrDom1+28)=4),AbrDom1+28,""))</f>
        <v>45410</v>
      </c>
      <c r="S17" s="39"/>
      <c r="U17" s="98"/>
      <c r="V17" s="101"/>
      <c r="W17" s="103"/>
    </row>
    <row r="18" spans="1:41" ht="15" customHeight="1" x14ac:dyDescent="0.25">
      <c r="B18" s="10"/>
      <c r="C18" s="14">
        <f>IF(DAY(MarSun1)=1,IF(AND(YEAR(MarSun1+22)=AñoCalendario,MONTH(MarSun1+22)=3),MarSun1+22,""),IF(AND(YEAR(MarSun1+29)=AñoCalendario,MONTH(MarSun1+29)=3),MarSun1+29,""))</f>
        <v>45376</v>
      </c>
      <c r="D18" s="46">
        <f>IF(DAY(MarSun1)=1,IF(AND(YEAR(MarSun1+23)=AñoCalendario,MONTH(MarSun1+23)=3),MarSun1+23,""),IF(AND(YEAR(MarSun1+30)=AñoCalendario,MONTH(MarSun1+30)=3),MarSun1+30,""))</f>
        <v>45377</v>
      </c>
      <c r="E18" s="46">
        <f>IF(DAY(MarSun1)=1,IF(AND(YEAR(MarSun1+24)=AñoCalendario,MONTH(MarSun1+24)=3),MarSun1+24,""),IF(AND(YEAR(MarSun1+31)=AñoCalendario,MONTH(MarSun1+31)=3),MarSun1+31,""))</f>
        <v>45378</v>
      </c>
      <c r="F18" s="46">
        <f>IF(DAY(MarSun1)=1,IF(AND(YEAR(MarSun1+25)=AñoCalendario,MONTH(MarSun1+25)=3),MarSun1+25,""),IF(AND(YEAR(MarSun1+32)=AñoCalendario,MONTH(MarSun1+32)=3),MarSun1+32,""))</f>
        <v>45379</v>
      </c>
      <c r="G18" s="46">
        <f>IF(DAY(MarSun1)=1,IF(AND(YEAR(MarSun1+26)=AñoCalendario,MONTH(MarSun1+26)=3),MarSun1+26,""),IF(AND(YEAR(MarSun1+33)=AñoCalendario,MONTH(MarSun1+33)=3),MarSun1+33,""))</f>
        <v>45380</v>
      </c>
      <c r="H18" s="46">
        <f>IF(DAY(MarSun1)=1,IF(AND(YEAR(MarSun1+27)=AñoCalendario,MONTH(MarSun1+27)=3),MarSun1+27,""),IF(AND(YEAR(MarSun1+34)=AñoCalendario,MONTH(MarSun1+34)=3),MarSun1+34,""))</f>
        <v>45381</v>
      </c>
      <c r="I18" s="15">
        <f>IF(DAY(MarSun1)=1,IF(AND(YEAR(MarSun1+28)=AñoCalendario,MONTH(MarSun1+28)=3),MarSun1+28,""),IF(AND(YEAR(MarSun1+35)=AñoCalendario,MONTH(MarSun1+35)=3),MarSun1+35,""))</f>
        <v>45382</v>
      </c>
      <c r="J18" s="46"/>
      <c r="K18" s="14">
        <f>IF(DAY(AbrDom1)=1,IF(AND(YEAR(AbrDom1+22)=AñoCalendario,MONTH(AbrDom1+22)=4),AbrDom1+22,""),IF(AND(YEAR(AbrDom1+29)=AñoCalendario,MONTH(AbrDom1+29)=4),AbrDom1+29,""))</f>
        <v>45411</v>
      </c>
      <c r="L18" s="46">
        <f>IF(DAY(AbrDom1)=1,IF(AND(YEAR(AbrDom1+23)=AñoCalendario,MONTH(AbrDom1+23)=4),AbrDom1+23,""),IF(AND(YEAR(AbrDom1+30)=AñoCalendario,MONTH(AbrDom1+30)=4),AbrDom1+30,""))</f>
        <v>45412</v>
      </c>
      <c r="M18" s="46" t="str">
        <f>IF(DAY(AbrDom1)=1,IF(AND(YEAR(AbrDom1+24)=AñoCalendario,MONTH(AbrDom1+24)=4),AbrDom1+24,""),IF(AND(YEAR(AbrDom1+31)=AñoCalendario,MONTH(AbrDom1+31)=4),AbrDom1+31,""))</f>
        <v/>
      </c>
      <c r="N18" s="46" t="str">
        <f>IF(DAY(AbrDom1)=1,IF(AND(YEAR(AbrDom1+25)=AñoCalendario,MONTH(AbrDom1+25)=4),AbrDom1+25,""),IF(AND(YEAR(AbrDom1+32)=AñoCalendario,MONTH(AbrDom1+32)=4),AbrDom1+32,""))</f>
        <v/>
      </c>
      <c r="O18" s="46" t="str">
        <f>IF(DAY(AbrDom1)=1,IF(AND(YEAR(AbrDom1+26)=AñoCalendario,MONTH(AbrDom1+26)=4),AbrDom1+26,""),IF(AND(YEAR(AbrDom1+33)=AñoCalendario,MONTH(AbrDom1+33)=4),AbrDom1+33,""))</f>
        <v/>
      </c>
      <c r="P18" s="46" t="str">
        <f>IF(DAY(AbrDom1)=1,IF(AND(YEAR(AbrDom1+27)=AñoCalendario,MONTH(AbrDom1+27)=4),AbrDom1+27,""),IF(AND(YEAR(AbrDom1+34)=AñoCalendario,MONTH(AbrDom1+34)=4),AbrDom1+34,""))</f>
        <v/>
      </c>
      <c r="Q18" s="15" t="str">
        <f>IF(DAY(AbrDom1)=1,IF(AND(YEAR(AbrDom1+28)=AñoCalendario,MONTH(AbrDom1+28)=4),AbrDom1+28,""),IF(AND(YEAR(AbrDom1+35)=AñoCalendario,MONTH(AbrDom1+35)=4),AbrDom1+35,""))</f>
        <v/>
      </c>
      <c r="S18" s="39"/>
      <c r="U18" s="98"/>
      <c r="V18" s="101"/>
      <c r="W18" s="103"/>
    </row>
    <row r="19" spans="1:41" ht="15" customHeight="1" thickBot="1" x14ac:dyDescent="0.3">
      <c r="B19" s="10"/>
      <c r="C19" s="18" t="str">
        <f>IF(DAY(MarSun1)=1,IF(AND(YEAR(MarSun1+29)=AñoCalendario,MONTH(MarSun1+29)=3),MarSun1+29,""),IF(AND(YEAR(MarSun1+36)=AñoCalendario,MONTH(MarSun1+36)=3),MarSun1+36,""))</f>
        <v/>
      </c>
      <c r="D19" s="19" t="str">
        <f>IF(DAY(MarSun1)=1,IF(AND(YEAR(MarSun1+30)=AñoCalendario,MONTH(MarSun1+30)=3),MarSun1+30,""),IF(AND(YEAR(MarSun1+37)=AñoCalendario,MONTH(MarSun1+37)=3),MarSun1+37,""))</f>
        <v/>
      </c>
      <c r="E19" s="19" t="str">
        <f>IF(DAY(MarSun1)=1,IF(AND(YEAR(MarSun1+31)=AñoCalendario,MONTH(MarSun1+31)=3),MarSun1+31,""),IF(AND(YEAR(MarSun1+38)=AñoCalendario,MONTH(MarSun1+38)=3),MarSun1+38,""))</f>
        <v/>
      </c>
      <c r="F19" s="19" t="str">
        <f>IF(DAY(MarSun1)=1,IF(AND(YEAR(MarSun1+32)=AñoCalendario,MONTH(MarSun1+32)=3),MarSun1+32,""),IF(AND(YEAR(MarSun1+39)=AñoCalendario,MONTH(MarSun1+39)=3),MarSun1+39,""))</f>
        <v/>
      </c>
      <c r="G19" s="19" t="str">
        <f>IF(DAY(MarSun1)=1,IF(AND(YEAR(MarSun1+33)=AñoCalendario,MONTH(MarSun1+33)=3),MarSun1+33,""),IF(AND(YEAR(MarSun1+40)=AñoCalendario,MONTH(MarSun1+40)=3),MarSun1+40,""))</f>
        <v/>
      </c>
      <c r="H19" s="19" t="str">
        <f>IF(DAY(MarSun1)=1,IF(AND(YEAR(MarSun1+34)=AñoCalendario,MONTH(MarSun1+34)=3),MarSun1+34,""),IF(AND(YEAR(MarSun1+41)=AñoCalendario,MONTH(MarSun1+41)=3),MarSun1+41,""))</f>
        <v/>
      </c>
      <c r="I19" s="20" t="str">
        <f>IF(DAY(MarSun1)=1,IF(AND(YEAR(MarSun1+35)=AñoCalendario,MONTH(MarSun1+35)=3),MarSun1+35,""),IF(AND(YEAR(MarSun1+42)=AñoCalendario,MONTH(MarSun1+42)=3),MarSun1+42,""))</f>
        <v/>
      </c>
      <c r="J19" s="46"/>
      <c r="K19" s="18" t="str">
        <f>IF(DAY(AbrDom1)=1,IF(AND(YEAR(AbrDom1+29)=AñoCalendario,MONTH(AbrDom1+29)=4),AbrDom1+29,""),IF(AND(YEAR(AbrDom1+36)=AñoCalendario,MONTH(AbrDom1+36)=4),AbrDom1+36,""))</f>
        <v/>
      </c>
      <c r="L19" s="19" t="str">
        <f>IF(DAY(AbrDom1)=1,IF(AND(YEAR(AbrDom1+30)=AñoCalendario,MONTH(AbrDom1+30)=4),AbrDom1+30,""),IF(AND(YEAR(AbrDom1+37)=AñoCalendario,MONTH(AbrDom1+37)=4),AbrDom1+37,""))</f>
        <v/>
      </c>
      <c r="M19" s="19" t="str">
        <f>IF(DAY(AbrDom1)=1,IF(AND(YEAR(AbrDom1+31)=AñoCalendario,MONTH(AbrDom1+31)=4),AbrDom1+31,""),IF(AND(YEAR(AbrDom1+38)=AñoCalendario,MONTH(AbrDom1+38)=4),AbrDom1+38,""))</f>
        <v/>
      </c>
      <c r="N19" s="19" t="str">
        <f>IF(DAY(AbrDom1)=1,IF(AND(YEAR(AbrDom1+32)=AñoCalendario,MONTH(AbrDom1+32)=4),AbrDom1+32,""),IF(AND(YEAR(AbrDom1+39)=AñoCalendario,MONTH(AbrDom1+39)=4),AbrDom1+39,""))</f>
        <v/>
      </c>
      <c r="O19" s="19" t="str">
        <f>IF(DAY(AbrDom1)=1,IF(AND(YEAR(AbrDom1+33)=AñoCalendario,MONTH(AbrDom1+33)=4),AbrDom1+33,""),IF(AND(YEAR(AbrDom1+40)=AñoCalendario,MONTH(AbrDom1+40)=4),AbrDom1+40,""))</f>
        <v/>
      </c>
      <c r="P19" s="19" t="str">
        <f>IF(DAY(AbrDom1)=1,IF(AND(YEAR(AbrDom1+34)=AñoCalendario,MONTH(AbrDom1+34)=4),AbrDom1+34,""),IF(AND(YEAR(AbrDom1+41)=AñoCalendario,MONTH(AbrDom1+41)=4),AbrDom1+41,""))</f>
        <v/>
      </c>
      <c r="Q19" s="20" t="str">
        <f>IF(DAY(AbrDom1)=1,IF(AND(YEAR(AbrDom1+35)=AñoCalendario,MONTH(AbrDom1+35)=4),AbrDom1+35,""),IF(AND(YEAR(AbrDom1+42)=AñoCalendario,MONTH(AbrDom1+42)=4),AbrDom1+42,""))</f>
        <v/>
      </c>
      <c r="S19" s="39"/>
      <c r="U19" s="98"/>
      <c r="V19" s="102"/>
      <c r="W19" s="94"/>
    </row>
    <row r="20" spans="1:41" ht="15" customHeight="1" thickBot="1" x14ac:dyDescent="0.3">
      <c r="B20" s="10"/>
      <c r="C20" s="40"/>
      <c r="D20" s="40"/>
      <c r="E20" s="40"/>
      <c r="F20" s="40"/>
      <c r="G20" s="40"/>
      <c r="H20" s="40"/>
      <c r="I20" s="40"/>
      <c r="J20" s="46"/>
      <c r="K20" s="40"/>
      <c r="L20" s="40"/>
      <c r="M20" s="40"/>
      <c r="N20" s="40"/>
      <c r="O20" s="40"/>
      <c r="P20" s="40"/>
      <c r="Q20" s="40"/>
      <c r="S20" s="39"/>
      <c r="U20" s="98"/>
      <c r="V20" s="100" t="s">
        <v>77</v>
      </c>
      <c r="W20" s="104" t="s">
        <v>78</v>
      </c>
    </row>
    <row r="21" spans="1:41" ht="15" customHeight="1" x14ac:dyDescent="0.25">
      <c r="A21" s="6" t="s">
        <v>79</v>
      </c>
      <c r="B21" s="10"/>
      <c r="C21" s="83" t="s">
        <v>80</v>
      </c>
      <c r="D21" s="84"/>
      <c r="E21" s="84"/>
      <c r="F21" s="84"/>
      <c r="G21" s="84"/>
      <c r="H21" s="84"/>
      <c r="I21" s="85"/>
      <c r="J21" s="46"/>
      <c r="K21" s="83" t="s">
        <v>81</v>
      </c>
      <c r="L21" s="84"/>
      <c r="M21" s="84"/>
      <c r="N21" s="84"/>
      <c r="O21" s="84"/>
      <c r="P21" s="84"/>
      <c r="Q21" s="85"/>
      <c r="S21" s="53"/>
      <c r="T21" s="21"/>
      <c r="U21" s="98"/>
      <c r="V21" s="102"/>
      <c r="W21" s="105"/>
      <c r="X21" s="21"/>
      <c r="Y21" s="21"/>
      <c r="AA21" s="21"/>
      <c r="AB21" s="21"/>
      <c r="AC21" s="21"/>
      <c r="AD21" s="21"/>
      <c r="AE21" s="21"/>
      <c r="AF21" s="21"/>
      <c r="AG21" s="21"/>
      <c r="AI21" s="21"/>
      <c r="AJ21" s="21"/>
      <c r="AK21" s="21"/>
      <c r="AL21" s="21"/>
      <c r="AM21" s="21"/>
      <c r="AN21" s="21"/>
      <c r="AO21" s="21"/>
    </row>
    <row r="22" spans="1:41" ht="15" customHeight="1" x14ac:dyDescent="0.25">
      <c r="A22" s="6" t="s">
        <v>82</v>
      </c>
      <c r="B22" s="10"/>
      <c r="C22" s="12" t="s">
        <v>55</v>
      </c>
      <c r="D22" s="43" t="s">
        <v>56</v>
      </c>
      <c r="E22" s="43" t="s">
        <v>70</v>
      </c>
      <c r="F22" s="43" t="s">
        <v>58</v>
      </c>
      <c r="G22" s="43" t="s">
        <v>59</v>
      </c>
      <c r="H22" s="43" t="s">
        <v>60</v>
      </c>
      <c r="I22" s="13" t="s">
        <v>61</v>
      </c>
      <c r="J22" s="52"/>
      <c r="K22" s="12" t="s">
        <v>55</v>
      </c>
      <c r="L22" s="43" t="s">
        <v>56</v>
      </c>
      <c r="M22" s="43" t="s">
        <v>70</v>
      </c>
      <c r="N22" s="43" t="s">
        <v>58</v>
      </c>
      <c r="O22" s="43" t="s">
        <v>59</v>
      </c>
      <c r="P22" s="43" t="s">
        <v>60</v>
      </c>
      <c r="Q22" s="13" t="s">
        <v>61</v>
      </c>
      <c r="S22" s="39"/>
      <c r="U22" s="98"/>
      <c r="V22" s="100" t="s">
        <v>83</v>
      </c>
      <c r="W22" s="93" t="s">
        <v>84</v>
      </c>
    </row>
    <row r="23" spans="1:41" ht="15" customHeight="1" x14ac:dyDescent="0.25">
      <c r="A23" s="6"/>
      <c r="B23" s="10"/>
      <c r="C23" s="14" t="str">
        <f>IF(DAY(MaySun1)=1,"",IF(AND(YEAR(MaySun1+1)=AñoCalendario,MONTH(MaySun1+1)=5),MaySun1+1,""))</f>
        <v/>
      </c>
      <c r="D23" s="46" t="str">
        <f>IF(DAY(MaySun1)=1,"",IF(AND(YEAR(MaySun1+2)=AñoCalendario,MONTH(MaySun1+2)=5),MaySun1+2,""))</f>
        <v/>
      </c>
      <c r="E23" s="46">
        <f>IF(DAY(MaySun1)=1,"",IF(AND(YEAR(MaySun1+3)=AñoCalendario,MONTH(MaySun1+3)=5),MaySun1+3,""))</f>
        <v>45413</v>
      </c>
      <c r="F23" s="46">
        <f>IF(DAY(MaySun1)=1,"",IF(AND(YEAR(MaySun1+4)=AñoCalendario,MONTH(MaySun1+4)=5),MaySun1+4,""))</f>
        <v>45414</v>
      </c>
      <c r="G23" s="47">
        <f>IF(DAY(MaySun1)=1,"",IF(AND(YEAR(MaySun1+5)=AñoCalendario,MONTH(MaySun1+5)=5),MaySun1+5,""))</f>
        <v>45415</v>
      </c>
      <c r="H23" s="46">
        <f>IF(DAY(MaySun1)=1,"",IF(AND(YEAR(MaySun1+6)=AñoCalendario,MONTH(MaySun1+6)=5),MaySun1+6,""))</f>
        <v>45416</v>
      </c>
      <c r="I23" s="15">
        <f>IF(DAY(MaySun1)=1,IF(AND(YEAR(MaySun1)=AñoCalendario,MONTH(MaySun1)=5),MaySun1,""),IF(AND(YEAR(MaySun1+7)=AñoCalendario,MONTH(MaySun1+7)=5),MaySun1+7,""))</f>
        <v>45417</v>
      </c>
      <c r="J23" s="41"/>
      <c r="K23" s="14" t="str">
        <f>IF(DAY(JunSun1)=1,"",IF(AND(YEAR(JunSun1+1)=AñoCalendario,MONTH(JunSun1+1)=6),JunSun1+1,""))</f>
        <v/>
      </c>
      <c r="L23" s="46" t="str">
        <f>IF(DAY(JunSun1)=1,"",IF(AND(YEAR(JunSun1+2)=AñoCalendario,MONTH(JunSun1+2)=6),JunSun1+2,""))</f>
        <v/>
      </c>
      <c r="M23" s="46" t="str">
        <f>IF(DAY(JunSun1)=1,"",IF(AND(YEAR(JunSun1+3)=AñoCalendario,MONTH(JunSun1+3)=6),JunSun1+3,""))</f>
        <v/>
      </c>
      <c r="N23" s="46" t="str">
        <f>IF(DAY(JunSun1)=1,"",IF(AND(YEAR(JunSun1+4)=AñoCalendario,MONTH(JunSun1+4)=6),JunSun1+4,""))</f>
        <v/>
      </c>
      <c r="O23" s="46" t="str">
        <f>IF(DAY(JunSun1)=1,"",IF(AND(YEAR(JunSun1+5)=AñoCalendario,MONTH(JunSun1+5)=6),JunSun1+5,""))</f>
        <v/>
      </c>
      <c r="P23" s="46">
        <f>IF(DAY(JunSun1)=1,"",IF(AND(YEAR(JunSun1+6)=AñoCalendario,MONTH(JunSun1+6)=6),JunSun1+6,""))</f>
        <v>45444</v>
      </c>
      <c r="Q23" s="15">
        <f>IF(DAY(JunSun1)=1,IF(AND(YEAR(JunSun1)=AñoCalendario,MONTH(JunSun1)=6),JunSun1,""),IF(AND(YEAR(JunSun1+7)=AñoCalendario,MONTH(JunSun1+7)=6),JunSun1+7,""))</f>
        <v>45445</v>
      </c>
      <c r="S23" s="39"/>
      <c r="U23" s="98"/>
      <c r="V23" s="101"/>
      <c r="W23" s="103"/>
    </row>
    <row r="24" spans="1:41" ht="15" customHeight="1" x14ac:dyDescent="0.25">
      <c r="B24" s="10"/>
      <c r="C24" s="16">
        <f>IF(DAY(MaySun1)=1,IF(AND(YEAR(MaySun1+1)=AñoCalendario,MONTH(MaySun1+1)=5),MaySun1+1,""),IF(AND(YEAR(MaySun1+8)=AñoCalendario,MONTH(MaySun1+8)=5),MaySun1+8,""))</f>
        <v>45418</v>
      </c>
      <c r="D24" s="46">
        <f>IF(DAY(MaySun1)=1,IF(AND(YEAR(MaySun1+2)=AñoCalendario,MONTH(MaySun1+2)=5),MaySun1+2,""),IF(AND(YEAR(MaySun1+9)=AñoCalendario,MONTH(MaySun1+9)=5),MaySun1+9,""))</f>
        <v>45419</v>
      </c>
      <c r="E24" s="46">
        <f>IF(DAY(MaySun1)=1,IF(AND(YEAR(MaySun1+3)=AñoCalendario,MONTH(MaySun1+3)=5),MaySun1+3,""),IF(AND(YEAR(MaySun1+10)=AñoCalendario,MONTH(MaySun1+10)=5),MaySun1+10,""))</f>
        <v>45420</v>
      </c>
      <c r="F24" s="46">
        <f>IF(DAY(MaySun1)=1,IF(AND(YEAR(MaySun1+4)=AñoCalendario,MONTH(MaySun1+4)=5),MaySun1+4,""),IF(AND(YEAR(MaySun1+11)=AñoCalendario,MONTH(MaySun1+11)=5),MaySun1+11,""))</f>
        <v>45421</v>
      </c>
      <c r="G24" s="46">
        <f>IF(DAY(MaySun1)=1,IF(AND(YEAR(MaySun1+5)=AñoCalendario,MONTH(MaySun1+5)=5),MaySun1+5,""),IF(AND(YEAR(MaySun1+12)=AñoCalendario,MONTH(MaySun1+12)=5),MaySun1+12,""))</f>
        <v>45422</v>
      </c>
      <c r="H24" s="46">
        <f>IF(DAY(MaySun1)=1,IF(AND(YEAR(MaySun1+6)=AñoCalendario,MONTH(MaySun1+6)=5),MaySun1+6,""),IF(AND(YEAR(MaySun1+13)=AñoCalendario,MONTH(MaySun1+13)=5),MaySun1+13,""))</f>
        <v>45423</v>
      </c>
      <c r="I24" s="15">
        <f>IF(DAY(MaySun1)=1,IF(AND(YEAR(MaySun1+7)=AñoCalendario,MONTH(MaySun1+7)=5),MaySun1+7,""),IF(AND(YEAR(MaySun1+14)=AñoCalendario,MONTH(MaySun1+14)=5),MaySun1+14,""))</f>
        <v>45424</v>
      </c>
      <c r="J24" s="44"/>
      <c r="K24" s="14">
        <f>IF(DAY(JunSun1)=1,IF(AND(YEAR(JunSun1+1)=AñoCalendario,MONTH(JunSun1+1)=6),JunSun1+1,""),IF(AND(YEAR(JunSun1+8)=AñoCalendario,MONTH(JunSun1+8)=6),JunSun1+8,""))</f>
        <v>45446</v>
      </c>
      <c r="L24" s="46">
        <f>IF(DAY(JunSun1)=1,IF(AND(YEAR(JunSun1+2)=AñoCalendario,MONTH(JunSun1+2)=6),JunSun1+2,""),IF(AND(YEAR(JunSun1+9)=AñoCalendario,MONTH(JunSun1+9)=6),JunSun1+9,""))</f>
        <v>45447</v>
      </c>
      <c r="M24" s="46">
        <f>IF(DAY(JunSun1)=1,IF(AND(YEAR(JunSun1+3)=AñoCalendario,MONTH(JunSun1+3)=6),JunSun1+3,""),IF(AND(YEAR(JunSun1+10)=AñoCalendario,MONTH(JunSun1+10)=6),JunSun1+10,""))</f>
        <v>45448</v>
      </c>
      <c r="N24" s="46">
        <f>IF(DAY(JunSun1)=1,IF(AND(YEAR(JunSun1+4)=AñoCalendario,MONTH(JunSun1+4)=6),JunSun1+4,""),IF(AND(YEAR(JunSun1+11)=AñoCalendario,MONTH(JunSun1+11)=6),JunSun1+11,""))</f>
        <v>45449</v>
      </c>
      <c r="O24" s="47">
        <f>IF(DAY(JunSun1)=1,IF(AND(YEAR(JunSun1+5)=AñoCalendario,MONTH(JunSun1+5)=6),JunSun1+5,""),IF(AND(YEAR(JunSun1+12)=AñoCalendario,MONTH(JunSun1+12)=6),JunSun1+12,""))</f>
        <v>45450</v>
      </c>
      <c r="P24" s="46">
        <f>IF(DAY(JunSun1)=1,IF(AND(YEAR(JunSun1+6)=AñoCalendario,MONTH(JunSun1+6)=6),JunSun1+6,""),IF(AND(YEAR(JunSun1+13)=AñoCalendario,MONTH(JunSun1+13)=6),JunSun1+13,""))</f>
        <v>45451</v>
      </c>
      <c r="Q24" s="15">
        <f>IF(DAY(JunSun1)=1,IF(AND(YEAR(JunSun1+7)=AñoCalendario,MONTH(JunSun1+7)=6),JunSun1+7,""),IF(AND(YEAR(JunSun1+14)=AñoCalendario,MONTH(JunSun1+14)=6),JunSun1+14,""))</f>
        <v>45452</v>
      </c>
      <c r="S24" s="39"/>
      <c r="U24" s="99"/>
      <c r="V24" s="106"/>
      <c r="W24" s="94"/>
    </row>
    <row r="25" spans="1:41" ht="15" customHeight="1" x14ac:dyDescent="0.25">
      <c r="B25" s="10"/>
      <c r="C25" s="14">
        <f>IF(DAY(MaySun1)=1,IF(AND(YEAR(MaySun1+8)=AñoCalendario,MONTH(MaySun1+8)=5),MaySun1+8,""),IF(AND(YEAR(MaySun1+15)=AñoCalendario,MONTH(MaySun1+15)=5),MaySun1+15,""))</f>
        <v>45425</v>
      </c>
      <c r="D25" s="46">
        <f>IF(DAY(MaySun1)=1,IF(AND(YEAR(MaySun1+9)=AñoCalendario,MONTH(MaySun1+9)=5),MaySun1+9,""),IF(AND(YEAR(MaySun1+16)=AñoCalendario,MONTH(MaySun1+16)=5),MaySun1+16,""))</f>
        <v>45426</v>
      </c>
      <c r="E25" s="46">
        <f>IF(DAY(MaySun1)=1,IF(AND(YEAR(MaySun1+10)=AñoCalendario,MONTH(MaySun1+10)=5),MaySun1+10,""),IF(AND(YEAR(MaySun1+17)=AñoCalendario,MONTH(MaySun1+17)=5),MaySun1+17,""))</f>
        <v>45427</v>
      </c>
      <c r="F25" s="46">
        <f>IF(DAY(MaySun1)=1,IF(AND(YEAR(MaySun1+11)=AñoCalendario,MONTH(MaySun1+11)=5),MaySun1+11,""),IF(AND(YEAR(MaySun1+18)=AñoCalendario,MONTH(MaySun1+18)=5),MaySun1+18,""))</f>
        <v>45428</v>
      </c>
      <c r="G25" s="49">
        <f>IF(DAY(MaySun1)=1,IF(AND(YEAR(MaySun1+12)=AñoCalendario,MONTH(MaySun1+12)=5),MaySun1+12,""),IF(AND(YEAR(MaySun1+19)=AñoCalendario,MONTH(MaySun1+19)=5),MaySun1+19,""))</f>
        <v>45429</v>
      </c>
      <c r="H25" s="46">
        <f>IF(DAY(MaySun1)=1,IF(AND(YEAR(MaySun1+13)=AñoCalendario,MONTH(MaySun1+13)=5),MaySun1+13,""),IF(AND(YEAR(MaySun1+20)=AñoCalendario,MONTH(MaySun1+20)=5),MaySun1+20,""))</f>
        <v>45430</v>
      </c>
      <c r="I25" s="15">
        <f>IF(DAY(MaySun1)=1,IF(AND(YEAR(MaySun1+14)=AñoCalendario,MONTH(MaySun1+14)=5),MaySun1+14,""),IF(AND(YEAR(MaySun1+21)=AñoCalendario,MONTH(MaySun1+21)=5),MaySun1+21,""))</f>
        <v>45431</v>
      </c>
      <c r="J25" s="46"/>
      <c r="K25" s="16">
        <f>IF(DAY(JunSun1)=1,IF(AND(YEAR(JunSun1+8)=AñoCalendario,MONTH(JunSun1+8)=6),JunSun1+8,""),IF(AND(YEAR(JunSun1+15)=AñoCalendario,MONTH(JunSun1+15)=6),JunSun1+15,""))</f>
        <v>45453</v>
      </c>
      <c r="L25" s="46">
        <f>IF(DAY(JunSun1)=1,IF(AND(YEAR(JunSun1+9)=AñoCalendario,MONTH(JunSun1+9)=6),JunSun1+9,""),IF(AND(YEAR(JunSun1+16)=AñoCalendario,MONTH(JunSun1+16)=6),JunSun1+16,""))</f>
        <v>45454</v>
      </c>
      <c r="M25" s="46">
        <f>IF(DAY(JunSun1)=1,IF(AND(YEAR(JunSun1+10)=AñoCalendario,MONTH(JunSun1+10)=6),JunSun1+10,""),IF(AND(YEAR(JunSun1+17)=AñoCalendario,MONTH(JunSun1+17)=6),JunSun1+17,""))</f>
        <v>45455</v>
      </c>
      <c r="N25" s="46">
        <f>IF(DAY(JunSun1)=1,IF(AND(YEAR(JunSun1+11)=AñoCalendario,MONTH(JunSun1+11)=6),JunSun1+11,""),IF(AND(YEAR(JunSun1+18)=AñoCalendario,MONTH(JunSun1+18)=6),JunSun1+18,""))</f>
        <v>45456</v>
      </c>
      <c r="O25" s="46">
        <f>IF(DAY(JunSun1)=1,IF(AND(YEAR(JunSun1+12)=AñoCalendario,MONTH(JunSun1+12)=6),JunSun1+12,""),IF(AND(YEAR(JunSun1+19)=AñoCalendario,MONTH(JunSun1+19)=6),JunSun1+19,""))</f>
        <v>45457</v>
      </c>
      <c r="P25" s="46">
        <f>IF(DAY(JunSun1)=1,IF(AND(YEAR(JunSun1+13)=AñoCalendario,MONTH(JunSun1+13)=6),JunSun1+13,""),IF(AND(YEAR(JunSun1+20)=AñoCalendario,MONTH(JunSun1+20)=6),JunSun1+20,""))</f>
        <v>45458</v>
      </c>
      <c r="Q25" s="15">
        <f>IF(DAY(JunSun1)=1,IF(AND(YEAR(JunSun1+14)=AñoCalendario,MONTH(JunSun1+14)=6),JunSun1+14,""),IF(AND(YEAR(JunSun1+21)=AñoCalendario,MONTH(JunSun1+21)=6),JunSun1+21,""))</f>
        <v>45459</v>
      </c>
      <c r="S25" s="39"/>
      <c r="U25" s="40"/>
      <c r="V25" s="40"/>
      <c r="W25" s="11"/>
    </row>
    <row r="26" spans="1:41" ht="15" customHeight="1" x14ac:dyDescent="0.25">
      <c r="B26" s="10"/>
      <c r="C26" s="16">
        <f>IF(DAY(MaySun1)=1,IF(AND(YEAR(MaySun1+15)=AñoCalendario,MONTH(MaySun1+15)=5),MaySun1+15,""),IF(AND(YEAR(MaySun1+22)=AñoCalendario,MONTH(MaySun1+22)=5),MaySun1+22,""))</f>
        <v>45432</v>
      </c>
      <c r="D26" s="46">
        <f>IF(DAY(MaySun1)=1,IF(AND(YEAR(MaySun1+16)=AñoCalendario,MONTH(MaySun1+16)=5),MaySun1+16,""),IF(AND(YEAR(MaySun1+23)=AñoCalendario,MONTH(MaySun1+23)=5),MaySun1+23,""))</f>
        <v>45433</v>
      </c>
      <c r="E26" s="46">
        <f>IF(DAY(MaySun1)=1,IF(AND(YEAR(MaySun1+17)=AñoCalendario,MONTH(MaySun1+17)=5),MaySun1+17,""),IF(AND(YEAR(MaySun1+24)=AñoCalendario,MONTH(MaySun1+24)=5),MaySun1+24,""))</f>
        <v>45434</v>
      </c>
      <c r="F26" s="46">
        <f>IF(DAY(MaySun1)=1,IF(AND(YEAR(MaySun1+18)=AñoCalendario,MONTH(MaySun1+18)=5),MaySun1+18,""),IF(AND(YEAR(MaySun1+25)=AñoCalendario,MONTH(MaySun1+25)=5),MaySun1+25,""))</f>
        <v>45435</v>
      </c>
      <c r="G26" s="46">
        <f>IF(DAY(MaySun1)=1,IF(AND(YEAR(MaySun1+19)=AñoCalendario,MONTH(MaySun1+19)=5),MaySun1+19,""),IF(AND(YEAR(MaySun1+26)=AñoCalendario,MONTH(MaySun1+26)=5),MaySun1+26,""))</f>
        <v>45436</v>
      </c>
      <c r="H26" s="46">
        <f>IF(DAY(MaySun1)=1,IF(AND(YEAR(MaySun1+20)=AñoCalendario,MONTH(MaySun1+20)=5),MaySun1+20,""),IF(AND(YEAR(MaySun1+27)=AñoCalendario,MONTH(MaySun1+27)=5),MaySun1+27,""))</f>
        <v>45437</v>
      </c>
      <c r="I26" s="15">
        <f>IF(DAY(MaySun1)=1,IF(AND(YEAR(MaySun1+21)=AñoCalendario,MONTH(MaySun1+21)=5),MaySun1+21,""),IF(AND(YEAR(MaySun1+28)=AñoCalendario,MONTH(MaySun1+28)=5),MaySun1+28,""))</f>
        <v>45438</v>
      </c>
      <c r="J26" s="46"/>
      <c r="K26" s="14">
        <f>IF(DAY(JunSun1)=1,IF(AND(YEAR(JunSun1+15)=AñoCalendario,MONTH(JunSun1+15)=6),JunSun1+15,""),IF(AND(YEAR(JunSun1+22)=AñoCalendario,MONTH(JunSun1+22)=6),JunSun1+22,""))</f>
        <v>45460</v>
      </c>
      <c r="L26" s="46">
        <f>IF(DAY(JunSun1)=1,IF(AND(YEAR(JunSun1+16)=AñoCalendario,MONTH(JunSun1+16)=6),JunSun1+16,""),IF(AND(YEAR(JunSun1+23)=AñoCalendario,MONTH(JunSun1+23)=6),JunSun1+23,""))</f>
        <v>45461</v>
      </c>
      <c r="M26" s="46">
        <f>IF(DAY(JunSun1)=1,IF(AND(YEAR(JunSun1+17)=AñoCalendario,MONTH(JunSun1+17)=6),JunSun1+17,""),IF(AND(YEAR(JunSun1+24)=AñoCalendario,MONTH(JunSun1+24)=6),JunSun1+24,""))</f>
        <v>45462</v>
      </c>
      <c r="N26" s="46">
        <f>IF(DAY(JunSun1)=1,IF(AND(YEAR(JunSun1+18)=AñoCalendario,MONTH(JunSun1+18)=6),JunSun1+18,""),IF(AND(YEAR(JunSun1+25)=AñoCalendario,MONTH(JunSun1+25)=6),JunSun1+25,""))</f>
        <v>45463</v>
      </c>
      <c r="O26" s="49">
        <f>IF(DAY(JunSun1)=1,IF(AND(YEAR(JunSun1+19)=AñoCalendario,MONTH(JunSun1+19)=6),JunSun1+19,""),IF(AND(YEAR(JunSun1+26)=AñoCalendario,MONTH(JunSun1+26)=6),JunSun1+26,""))</f>
        <v>45464</v>
      </c>
      <c r="P26" s="46">
        <f>IF(DAY(JunSun1)=1,IF(AND(YEAR(JunSun1+20)=AñoCalendario,MONTH(JunSun1+20)=6),JunSun1+20,""),IF(AND(YEAR(JunSun1+27)=AñoCalendario,MONTH(JunSun1+27)=6),JunSun1+27,""))</f>
        <v>45465</v>
      </c>
      <c r="Q26" s="15">
        <f>IF(DAY(JunSun1)=1,IF(AND(YEAR(JunSun1+21)=AñoCalendario,MONTH(JunSun1+21)=6),JunSun1+21,""),IF(AND(YEAR(JunSun1+28)=AñoCalendario,MONTH(JunSun1+28)=6),JunSun1+28,""))</f>
        <v>45466</v>
      </c>
      <c r="S26" s="39"/>
      <c r="U26" s="40"/>
      <c r="V26" s="40"/>
      <c r="W26" s="11"/>
    </row>
    <row r="27" spans="1:41" ht="15" customHeight="1" x14ac:dyDescent="0.25">
      <c r="B27" s="10"/>
      <c r="C27" s="14">
        <f>IF(DAY(MaySun1)=1,IF(AND(YEAR(MaySun1+22)=AñoCalendario,MONTH(MaySun1+22)=5),MaySun1+22,""),IF(AND(YEAR(MaySun1+29)=AñoCalendario,MONTH(MaySun1+29)=5),MaySun1+29,""))</f>
        <v>45439</v>
      </c>
      <c r="D27" s="46">
        <f>IF(DAY(MaySun1)=1,IF(AND(YEAR(MaySun1+23)=AñoCalendario,MONTH(MaySun1+23)=5),MaySun1+23,""),IF(AND(YEAR(MaySun1+30)=AñoCalendario,MONTH(MaySun1+30)=5),MaySun1+30,""))</f>
        <v>45440</v>
      </c>
      <c r="E27" s="46">
        <f>IF(DAY(MaySun1)=1,IF(AND(YEAR(MaySun1+24)=AñoCalendario,MONTH(MaySun1+24)=5),MaySun1+24,""),IF(AND(YEAR(MaySun1+31)=AñoCalendario,MONTH(MaySun1+31)=5),MaySun1+31,""))</f>
        <v>45441</v>
      </c>
      <c r="F27" s="46">
        <f>IF(DAY(MaySun1)=1,IF(AND(YEAR(MaySun1+25)=AñoCalendario,MONTH(MaySun1+25)=5),MaySun1+25,""),IF(AND(YEAR(MaySun1+32)=AñoCalendario,MONTH(MaySun1+32)=5),MaySun1+32,""))</f>
        <v>45442</v>
      </c>
      <c r="G27" s="46">
        <f>IF(DAY(MaySun1)=1,IF(AND(YEAR(MaySun1+26)=AñoCalendario,MONTH(MaySun1+26)=5),MaySun1+26,""),IF(AND(YEAR(MaySun1+33)=AñoCalendario,MONTH(MaySun1+33)=5),MaySun1+33,""))</f>
        <v>45443</v>
      </c>
      <c r="H27" s="46" t="str">
        <f>IF(DAY(MaySun1)=1,IF(AND(YEAR(MaySun1+27)=AñoCalendario,MONTH(MaySun1+27)=5),MaySun1+27,""),IF(AND(YEAR(MaySun1+34)=AñoCalendario,MONTH(MaySun1+34)=5),MaySun1+34,""))</f>
        <v/>
      </c>
      <c r="I27" s="15" t="str">
        <f>IF(DAY(MaySun1)=1,IF(AND(YEAR(MaySun1+28)=AñoCalendario,MONTH(MaySun1+28)=5),MaySun1+28,""),IF(AND(YEAR(MaySun1+35)=AñoCalendario,MONTH(MaySun1+35)=5),MaySun1+35,""))</f>
        <v/>
      </c>
      <c r="J27" s="46"/>
      <c r="K27" s="16">
        <f>IF(DAY(JunSun1)=1,IF(AND(YEAR(JunSun1+22)=AñoCalendario,MONTH(JunSun1+22)=6),JunSun1+22,""),IF(AND(YEAR(JunSun1+29)=AñoCalendario,MONTH(JunSun1+29)=6),JunSun1+29,""))</f>
        <v>45467</v>
      </c>
      <c r="L27" s="46">
        <f>IF(DAY(JunSun1)=1,IF(AND(YEAR(JunSun1+23)=AñoCalendario,MONTH(JunSun1+23)=6),JunSun1+23,""),IF(AND(YEAR(JunSun1+30)=AñoCalendario,MONTH(JunSun1+30)=6),JunSun1+30,""))</f>
        <v>45468</v>
      </c>
      <c r="M27" s="46">
        <f>IF(DAY(JunSun1)=1,IF(AND(YEAR(JunSun1+24)=AñoCalendario,MONTH(JunSun1+24)=6),JunSun1+24,""),IF(AND(YEAR(JunSun1+31)=AñoCalendario,MONTH(JunSun1+31)=6),JunSun1+31,""))</f>
        <v>45469</v>
      </c>
      <c r="N27" s="46">
        <f>IF(DAY(JunSun1)=1,IF(AND(YEAR(JunSun1+25)=AñoCalendario,MONTH(JunSun1+25)=6),JunSun1+25,""),IF(AND(YEAR(JunSun1+32)=AñoCalendario,MONTH(JunSun1+32)=6),JunSun1+32,""))</f>
        <v>45470</v>
      </c>
      <c r="O27" s="46">
        <f>IF(DAY(JunSun1)=1,IF(AND(YEAR(JunSun1+26)=AñoCalendario,MONTH(JunSun1+26)=6),JunSun1+26,""),IF(AND(YEAR(JunSun1+33)=AñoCalendario,MONTH(JunSun1+33)=6),JunSun1+33,""))</f>
        <v>45471</v>
      </c>
      <c r="P27" s="46">
        <f>IF(DAY(JunSun1)=1,IF(AND(YEAR(JunSun1+27)=AñoCalendario,MONTH(JunSun1+27)=6),JunSun1+27,""),IF(AND(YEAR(JunSun1+34)=AñoCalendario,MONTH(JunSun1+34)=6),JunSun1+34,""))</f>
        <v>45472</v>
      </c>
      <c r="Q27" s="15">
        <f>IF(DAY(JunSun1)=1,IF(AND(YEAR(JunSun1+28)=AñoCalendario,MONTH(JunSun1+28)=6),JunSun1+28,""),IF(AND(YEAR(JunSun1+35)=AñoCalendario,MONTH(JunSun1+35)=6),JunSun1+35,""))</f>
        <v>45473</v>
      </c>
      <c r="S27" s="39"/>
      <c r="U27" s="22" t="s">
        <v>71</v>
      </c>
      <c r="V27" s="25" t="s">
        <v>72</v>
      </c>
      <c r="W27" s="24" t="s">
        <v>73</v>
      </c>
    </row>
    <row r="28" spans="1:41" ht="15" customHeight="1" thickBot="1" x14ac:dyDescent="0.3">
      <c r="B28" s="10"/>
      <c r="C28" s="18" t="str">
        <f>IF(DAY(MaySun1)=1,IF(AND(YEAR(MaySun1+29)=AñoCalendario,MONTH(MaySun1+29)=5),MaySun1+29,""),IF(AND(YEAR(MaySun1+36)=AñoCalendario,MONTH(MaySun1+36)=5),MaySun1+36,""))</f>
        <v/>
      </c>
      <c r="D28" s="19" t="str">
        <f>IF(DAY(MaySun1)=1,IF(AND(YEAR(MaySun1+30)=AñoCalendario,MONTH(MaySun1+30)=5),MaySun1+30,""),IF(AND(YEAR(MaySun1+37)=AñoCalendario,MONTH(MaySun1+37)=5),MaySun1+37,""))</f>
        <v/>
      </c>
      <c r="E28" s="19" t="str">
        <f>IF(DAY(MaySun1)=1,IF(AND(YEAR(MaySun1+31)=AñoCalendario,MONTH(MaySun1+31)=5),MaySun1+31,""),IF(AND(YEAR(MaySun1+38)=AñoCalendario,MONTH(MaySun1+38)=5),MaySun1+38,""))</f>
        <v/>
      </c>
      <c r="F28" s="19" t="str">
        <f>IF(DAY(MaySun1)=1,IF(AND(YEAR(MaySun1+32)=AñoCalendario,MONTH(MaySun1+32)=5),MaySun1+32,""),IF(AND(YEAR(MaySun1+39)=AñoCalendario,MONTH(MaySun1+39)=5),MaySun1+39,""))</f>
        <v/>
      </c>
      <c r="G28" s="19" t="str">
        <f>IF(DAY(MaySun1)=1,IF(AND(YEAR(MaySun1+33)=AñoCalendario,MONTH(MaySun1+33)=5),MaySun1+33,""),IF(AND(YEAR(MaySun1+40)=AñoCalendario,MONTH(MaySun1+40)=5),MaySun1+40,""))</f>
        <v/>
      </c>
      <c r="H28" s="19" t="str">
        <f>IF(DAY(MaySun1)=1,IF(AND(YEAR(MaySun1+34)=AñoCalendario,MONTH(MaySun1+34)=5),MaySun1+34,""),IF(AND(YEAR(MaySun1+41)=AñoCalendario,MONTH(MaySun1+41)=5),MaySun1+41,""))</f>
        <v/>
      </c>
      <c r="I28" s="20" t="str">
        <f>IF(DAY(MaySun1)=1,IF(AND(YEAR(MaySun1+35)=AñoCalendario,MONTH(MaySun1+35)=5),MaySun1+35,""),IF(AND(YEAR(MaySun1+42)=AñoCalendario,MONTH(MaySun1+42)=5),MaySun1+42,""))</f>
        <v/>
      </c>
      <c r="J28" s="46"/>
      <c r="K28" s="18" t="str">
        <f>IF(DAY(JunSun1)=1,IF(AND(YEAR(JunSun1+29)=AñoCalendario,MONTH(JunSun1+29)=6),JunSun1+29,""),IF(AND(YEAR(JunSun1+36)=AñoCalendario,MONTH(JunSun1+36)=6),JunSun1+36,""))</f>
        <v/>
      </c>
      <c r="L28" s="19" t="str">
        <f>IF(DAY(JunSun1)=1,IF(AND(YEAR(JunSun1+30)=AñoCalendario,MONTH(JunSun1+30)=6),JunSun1+30,""),IF(AND(YEAR(JunSun1+37)=AñoCalendario,MONTH(JunSun1+37)=6),JunSun1+37,""))</f>
        <v/>
      </c>
      <c r="M28" s="19" t="str">
        <f>IF(DAY(JunSun1)=1,IF(AND(YEAR(JunSun1+31)=AñoCalendario,MONTH(JunSun1+31)=6),JunSun1+31,""),IF(AND(YEAR(JunSun1+38)=AñoCalendario,MONTH(JunSun1+38)=6),JunSun1+38,""))</f>
        <v/>
      </c>
      <c r="N28" s="19" t="str">
        <f>IF(DAY(JunSun1)=1,IF(AND(YEAR(JunSun1+32)=AñoCalendario,MONTH(JunSun1+32)=6),JunSun1+32,""),IF(AND(YEAR(JunSun1+39)=AñoCalendario,MONTH(JunSun1+39)=6),JunSun1+39,""))</f>
        <v/>
      </c>
      <c r="O28" s="19" t="str">
        <f>IF(DAY(JunSun1)=1,IF(AND(YEAR(JunSun1+33)=AñoCalendario,MONTH(JunSun1+33)=6),JunSun1+33,""),IF(AND(YEAR(JunSun1+40)=AñoCalendario,MONTH(JunSun1+40)=6),JunSun1+40,""))</f>
        <v/>
      </c>
      <c r="P28" s="19" t="str">
        <f>IF(DAY(JunSun1)=1,IF(AND(YEAR(JunSun1+34)=AñoCalendario,MONTH(JunSun1+34)=6),JunSun1+34,""),IF(AND(YEAR(JunSun1+41)=AñoCalendario,MONTH(JunSun1+41)=6),JunSun1+41,""))</f>
        <v/>
      </c>
      <c r="Q28" s="20" t="str">
        <f>IF(DAY(JunSun1)=1,IF(AND(YEAR(JunSun1+35)=AñoCalendario,MONTH(JunSun1+35)=6),JunSun1+35,""),IF(AND(YEAR(JunSun1+42)=AñoCalendario,MONTH(JunSun1+42)=6),JunSun1+42,""))</f>
        <v/>
      </c>
      <c r="S28" s="39"/>
      <c r="U28" s="88" t="s">
        <v>85</v>
      </c>
      <c r="V28" s="91" t="s">
        <v>86</v>
      </c>
      <c r="W28" s="93" t="s">
        <v>87</v>
      </c>
    </row>
    <row r="29" spans="1:41" ht="15" customHeight="1" thickBot="1" x14ac:dyDescent="0.3">
      <c r="B29" s="10"/>
      <c r="C29" s="40"/>
      <c r="D29" s="40"/>
      <c r="E29" s="40"/>
      <c r="F29" s="40"/>
      <c r="G29" s="40"/>
      <c r="H29" s="40"/>
      <c r="I29" s="40"/>
      <c r="J29" s="46"/>
      <c r="K29" s="40"/>
      <c r="L29" s="40"/>
      <c r="M29" s="40"/>
      <c r="N29" s="40"/>
      <c r="O29" s="40"/>
      <c r="P29" s="40"/>
      <c r="Q29" s="40"/>
      <c r="S29" s="39"/>
      <c r="U29" s="89"/>
      <c r="V29" s="92"/>
      <c r="W29" s="94"/>
    </row>
    <row r="30" spans="1:41" ht="15" customHeight="1" x14ac:dyDescent="0.25">
      <c r="A30" s="6" t="s">
        <v>88</v>
      </c>
      <c r="B30" s="10"/>
      <c r="C30" s="83" t="s">
        <v>89</v>
      </c>
      <c r="D30" s="84"/>
      <c r="E30" s="84"/>
      <c r="F30" s="84"/>
      <c r="G30" s="84"/>
      <c r="H30" s="84"/>
      <c r="I30" s="85"/>
      <c r="J30" s="46"/>
      <c r="K30" s="83" t="s">
        <v>90</v>
      </c>
      <c r="L30" s="84"/>
      <c r="M30" s="84"/>
      <c r="N30" s="84"/>
      <c r="O30" s="84"/>
      <c r="P30" s="84"/>
      <c r="Q30" s="85"/>
      <c r="S30" s="39"/>
      <c r="U30" s="89"/>
      <c r="V30" s="91" t="s">
        <v>83</v>
      </c>
      <c r="W30" s="26" t="s">
        <v>91</v>
      </c>
    </row>
    <row r="31" spans="1:41" ht="15" customHeight="1" x14ac:dyDescent="0.25">
      <c r="A31" s="6" t="s">
        <v>92</v>
      </c>
      <c r="B31" s="10"/>
      <c r="C31" s="12" t="s">
        <v>55</v>
      </c>
      <c r="D31" s="43" t="s">
        <v>56</v>
      </c>
      <c r="E31" s="43" t="s">
        <v>70</v>
      </c>
      <c r="F31" s="43" t="s">
        <v>58</v>
      </c>
      <c r="G31" s="43" t="s">
        <v>59</v>
      </c>
      <c r="H31" s="43" t="s">
        <v>60</v>
      </c>
      <c r="I31" s="13" t="s">
        <v>61</v>
      </c>
      <c r="J31" s="46"/>
      <c r="K31" s="12" t="s">
        <v>55</v>
      </c>
      <c r="L31" s="43" t="s">
        <v>56</v>
      </c>
      <c r="M31" s="43" t="s">
        <v>70</v>
      </c>
      <c r="N31" s="43" t="s">
        <v>58</v>
      </c>
      <c r="O31" s="43" t="s">
        <v>59</v>
      </c>
      <c r="P31" s="43" t="s">
        <v>60</v>
      </c>
      <c r="Q31" s="13" t="s">
        <v>61</v>
      </c>
      <c r="S31" s="39"/>
      <c r="U31" s="89"/>
      <c r="V31" s="95"/>
      <c r="W31" s="27" t="s">
        <v>93</v>
      </c>
    </row>
    <row r="32" spans="1:41" ht="15" customHeight="1" x14ac:dyDescent="0.25">
      <c r="A32" s="6"/>
      <c r="B32" s="10"/>
      <c r="C32" s="14">
        <f>IF(DAY(JulSun1)=1,"",IF(AND(YEAR(JulSun1+1)=AñoCalendario,MONTH(JulSun1+1)=7),JulSun1+1,""))</f>
        <v>45474</v>
      </c>
      <c r="D32" s="46">
        <f>IF(DAY(JulSun1)=1,"",IF(AND(YEAR(JulSun1+2)=AñoCalendario,MONTH(JulSun1+2)=7),JulSun1+2,""))</f>
        <v>45475</v>
      </c>
      <c r="E32" s="46">
        <f>IF(DAY(JulSun1)=1,"",IF(AND(YEAR(JulSun1+3)=AñoCalendario,MONTH(JulSun1+3)=7),JulSun1+3,""))</f>
        <v>45476</v>
      </c>
      <c r="F32" s="46">
        <f>IF(DAY(JulSun1)=1,"",IF(AND(YEAR(JulSun1+4)=AñoCalendario,MONTH(JulSun1+4)=7),JulSun1+4,""))</f>
        <v>45477</v>
      </c>
      <c r="G32" s="47">
        <f>IF(DAY(JulSun1)=1,"",IF(AND(YEAR(JulSun1+5)=AñoCalendario,MONTH(JulSun1+5)=7),JulSun1+5,""))</f>
        <v>45478</v>
      </c>
      <c r="H32" s="46">
        <f>IF(DAY(JulSun1)=1,"",IF(AND(YEAR(JulSun1+6)=AñoCalendario,MONTH(JulSun1+6)=7),JulSun1+6,""))</f>
        <v>45479</v>
      </c>
      <c r="I32" s="15">
        <f>IF(DAY(JulSun1)=1,IF(AND(YEAR(JulSun1)=AñoCalendario,MONTH(JulSun1)=7),JulSun1,""),IF(AND(YEAR(JulSun1+7)=AñoCalendario,MONTH(JulSun1+7)=7),JulSun1+7,""))</f>
        <v>45480</v>
      </c>
      <c r="J32" s="40"/>
      <c r="K32" s="14" t="str">
        <f>IF(DAY(AgoDom1)=1,"",IF(AND(YEAR(AgoDom1+1)=AñoCalendario,MONTH(AgoDom1+1)=8),AgoDom1+1,""))</f>
        <v/>
      </c>
      <c r="L32" s="46" t="str">
        <f>IF(DAY(AgoDom1)=1,"",IF(AND(YEAR(AgoDom1+2)=AñoCalendario,MONTH(AgoDom1+2)=8),AgoDom1+2,""))</f>
        <v/>
      </c>
      <c r="M32" s="46" t="str">
        <f>IF(DAY(AgoDom1)=1,"",IF(AND(YEAR(AgoDom1+3)=AñoCalendario,MONTH(AgoDom1+3)=8),AgoDom1+3,""))</f>
        <v/>
      </c>
      <c r="N32" s="46">
        <f>IF(DAY(AgoDom1)=1,"",IF(AND(YEAR(AgoDom1+4)=AñoCalendario,MONTH(AgoDom1+4)=8),AgoDom1+4,""))</f>
        <v>45505</v>
      </c>
      <c r="O32" s="47">
        <f>IF(DAY(AgoDom1)=1,"",IF(AND(YEAR(AgoDom1+5)=AñoCalendario,MONTH(AgoDom1+5)=8),AgoDom1+5,""))</f>
        <v>45506</v>
      </c>
      <c r="P32" s="46">
        <f>IF(DAY(AgoDom1)=1,"",IF(AND(YEAR(AgoDom1+6)=AñoCalendario,MONTH(AgoDom1+6)=8),AgoDom1+6,""))</f>
        <v>45507</v>
      </c>
      <c r="Q32" s="15">
        <f>IF(DAY(AgoDom1)=1,IF(AND(YEAR(AgoDom1)=AñoCalendario,MONTH(AgoDom1)=8),AgoDom1,""),IF(AND(YEAR(AgoDom1+7)=AñoCalendario,MONTH(AgoDom1+7)=8),AgoDom1+7,""))</f>
        <v>45508</v>
      </c>
      <c r="S32" s="39"/>
      <c r="U32" s="89"/>
      <c r="V32" s="95"/>
      <c r="W32" s="96" t="s">
        <v>94</v>
      </c>
    </row>
    <row r="33" spans="1:23" ht="15" customHeight="1" x14ac:dyDescent="0.25">
      <c r="A33" s="6"/>
      <c r="B33" s="10"/>
      <c r="C33" s="16">
        <f>IF(DAY(JulSun1)=1,IF(AND(YEAR(JulSun1+1)=AñoCalendario,MONTH(JulSun1+1)=7),JulSun1+1,""),IF(AND(YEAR(JulSun1+8)=AñoCalendario,MONTH(JulSun1+8)=7),JulSun1+8,""))</f>
        <v>45481</v>
      </c>
      <c r="D33" s="46">
        <f>IF(DAY(JulSun1)=1,IF(AND(YEAR(JulSun1+2)=AñoCalendario,MONTH(JulSun1+2)=7),JulSun1+2,""),IF(AND(YEAR(JulSun1+9)=AñoCalendario,MONTH(JulSun1+9)=7),JulSun1+9,""))</f>
        <v>45482</v>
      </c>
      <c r="E33" s="46">
        <f>IF(DAY(JulSun1)=1,IF(AND(YEAR(JulSun1+3)=AñoCalendario,MONTH(JulSun1+3)=7),JulSun1+3,""),IF(AND(YEAR(JulSun1+10)=AñoCalendario,MONTH(JulSun1+10)=7),JulSun1+10,""))</f>
        <v>45483</v>
      </c>
      <c r="F33" s="46">
        <f>IF(DAY(JulSun1)=1,IF(AND(YEAR(JulSun1+4)=AñoCalendario,MONTH(JulSun1+4)=7),JulSun1+4,""),IF(AND(YEAR(JulSun1+11)=AñoCalendario,MONTH(JulSun1+11)=7),JulSun1+11,""))</f>
        <v>45484</v>
      </c>
      <c r="G33" s="46">
        <f>IF(DAY(JulSun1)=1,IF(AND(YEAR(JulSun1+5)=AñoCalendario,MONTH(JulSun1+5)=7),JulSun1+5,""),IF(AND(YEAR(JulSun1+12)=AñoCalendario,MONTH(JulSun1+12)=7),JulSun1+12,""))</f>
        <v>45485</v>
      </c>
      <c r="H33" s="46">
        <f>IF(DAY(JulSun1)=1,IF(AND(YEAR(JulSun1+6)=AñoCalendario,MONTH(JulSun1+6)=7),JulSun1+6,""),IF(AND(YEAR(JulSun1+13)=AñoCalendario,MONTH(JulSun1+13)=7),JulSun1+13,""))</f>
        <v>45486</v>
      </c>
      <c r="I33" s="15">
        <f>IF(DAY(JulSun1)=1,IF(AND(YEAR(JulSun1+7)=AñoCalendario,MONTH(JulSun1+7)=7),JulSun1+7,""),IF(AND(YEAR(JulSun1+14)=AñoCalendario,MONTH(JulSun1+14)=7),JulSun1+14,""))</f>
        <v>45487</v>
      </c>
      <c r="J33" s="40"/>
      <c r="K33" s="16">
        <f>IF(DAY(AgoDom1)=1,IF(AND(YEAR(AgoDom1+1)=AñoCalendario,MONTH(AgoDom1+1)=8),AgoDom1+1,""),IF(AND(YEAR(AgoDom1+8)=AñoCalendario,MONTH(AgoDom1+8)=8),AgoDom1+8,""))</f>
        <v>45509</v>
      </c>
      <c r="L33" s="46">
        <f>IF(DAY(AgoDom1)=1,IF(AND(YEAR(AgoDom1+2)=AñoCalendario,MONTH(AgoDom1+2)=8),AgoDom1+2,""),IF(AND(YEAR(AgoDom1+9)=AñoCalendario,MONTH(AgoDom1+9)=8),AgoDom1+9,""))</f>
        <v>45510</v>
      </c>
      <c r="M33" s="46">
        <f>IF(DAY(AgoDom1)=1,IF(AND(YEAR(AgoDom1+3)=AñoCalendario,MONTH(AgoDom1+3)=8),AgoDom1+3,""),IF(AND(YEAR(AgoDom1+10)=AñoCalendario,MONTH(AgoDom1+10)=8),AgoDom1+10,""))</f>
        <v>45511</v>
      </c>
      <c r="N33" s="46">
        <f>IF(DAY(AgoDom1)=1,IF(AND(YEAR(AgoDom1+4)=AñoCalendario,MONTH(AgoDom1+4)=8),AgoDom1+4,""),IF(AND(YEAR(AgoDom1+11)=AñoCalendario,MONTH(AgoDom1+11)=8),AgoDom1+11,""))</f>
        <v>45512</v>
      </c>
      <c r="O33" s="46">
        <f>IF(DAY(AgoDom1)=1,IF(AND(YEAR(AgoDom1+5)=AñoCalendario,MONTH(AgoDom1+5)=8),AgoDom1+5,""),IF(AND(YEAR(AgoDom1+12)=AñoCalendario,MONTH(AgoDom1+12)=8),AgoDom1+12,""))</f>
        <v>45513</v>
      </c>
      <c r="P33" s="46">
        <f>IF(DAY(AgoDom1)=1,IF(AND(YEAR(AgoDom1+6)=AñoCalendario,MONTH(AgoDom1+6)=8),AgoDom1+6,""),IF(AND(YEAR(AgoDom1+13)=AñoCalendario,MONTH(AgoDom1+13)=8),AgoDom1+13,""))</f>
        <v>45514</v>
      </c>
      <c r="Q33" s="15">
        <f>IF(DAY(AgoDom1)=1,IF(AND(YEAR(AgoDom1+7)=AñoCalendario,MONTH(AgoDom1+7)=8),AgoDom1+7,""),IF(AND(YEAR(AgoDom1+14)=AñoCalendario,MONTH(AgoDom1+14)=8),AgoDom1+14,""))</f>
        <v>45515</v>
      </c>
      <c r="S33" s="39"/>
      <c r="U33" s="89"/>
      <c r="V33" s="95"/>
      <c r="W33" s="96"/>
    </row>
    <row r="34" spans="1:23" ht="15" customHeight="1" x14ac:dyDescent="0.25">
      <c r="B34" s="10"/>
      <c r="C34" s="14">
        <f>IF(DAY(JulSun1)=1,IF(AND(YEAR(JulSun1+8)=AñoCalendario,MONTH(JulSun1+8)=7),JulSun1+8,""),IF(AND(YEAR(JulSun1+15)=AñoCalendario,MONTH(JulSun1+15)=7),JulSun1+15,""))</f>
        <v>45488</v>
      </c>
      <c r="D34" s="46">
        <f>IF(DAY(JulSun1)=1,IF(AND(YEAR(JulSun1+9)=AñoCalendario,MONTH(JulSun1+9)=7),JulSun1+9,""),IF(AND(YEAR(JulSun1+16)=AñoCalendario,MONTH(JulSun1+16)=7),JulSun1+16,""))</f>
        <v>45489</v>
      </c>
      <c r="E34" s="46">
        <f>IF(DAY(JulSun1)=1,IF(AND(YEAR(JulSun1+10)=AñoCalendario,MONTH(JulSun1+10)=7),JulSun1+10,""),IF(AND(YEAR(JulSun1+17)=AñoCalendario,MONTH(JulSun1+17)=7),JulSun1+17,""))</f>
        <v>45490</v>
      </c>
      <c r="F34" s="46">
        <f>IF(DAY(JulSun1)=1,IF(AND(YEAR(JulSun1+11)=AñoCalendario,MONTH(JulSun1+11)=7),JulSun1+11,""),IF(AND(YEAR(JulSun1+18)=AñoCalendario,MONTH(JulSun1+18)=7),JulSun1+18,""))</f>
        <v>45491</v>
      </c>
      <c r="G34" s="49">
        <f>IF(DAY(JulSun1)=1,IF(AND(YEAR(JulSun1+12)=AñoCalendario,MONTH(JulSun1+12)=7),JulSun1+12,""),IF(AND(YEAR(JulSun1+19)=AñoCalendario,MONTH(JulSun1+19)=7),JulSun1+19,""))</f>
        <v>45492</v>
      </c>
      <c r="H34" s="46">
        <f>IF(DAY(JulSun1)=1,IF(AND(YEAR(JulSun1+13)=AñoCalendario,MONTH(JulSun1+13)=7),JulSun1+13,""),IF(AND(YEAR(JulSun1+20)=AñoCalendario,MONTH(JulSun1+20)=7),JulSun1+20,""))</f>
        <v>45493</v>
      </c>
      <c r="I34" s="15">
        <f>IF(DAY(JulSun1)=1,IF(AND(YEAR(JulSun1+14)=AñoCalendario,MONTH(JulSun1+14)=7),JulSun1+14,""),IF(AND(YEAR(JulSun1+21)=AñoCalendario,MONTH(JulSun1+21)=7),JulSun1+21,""))</f>
        <v>45494</v>
      </c>
      <c r="J34" s="40"/>
      <c r="K34" s="14">
        <f>IF(DAY(AgoDom1)=1,IF(AND(YEAR(AgoDom1+8)=AñoCalendario,MONTH(AgoDom1+8)=8),AgoDom1+8,""),IF(AND(YEAR(AgoDom1+15)=AñoCalendario,MONTH(AgoDom1+15)=8),AgoDom1+15,""))</f>
        <v>45516</v>
      </c>
      <c r="L34" s="46">
        <f>IF(DAY(AgoDom1)=1,IF(AND(YEAR(AgoDom1+9)=AñoCalendario,MONTH(AgoDom1+9)=8),AgoDom1+9,""),IF(AND(YEAR(AgoDom1+16)=AñoCalendario,MONTH(AgoDom1+16)=8),AgoDom1+16,""))</f>
        <v>45517</v>
      </c>
      <c r="M34" s="46">
        <f>IF(DAY(AgoDom1)=1,IF(AND(YEAR(AgoDom1+10)=AñoCalendario,MONTH(AgoDom1+10)=8),AgoDom1+10,""),IF(AND(YEAR(AgoDom1+17)=AñoCalendario,MONTH(AgoDom1+17)=8),AgoDom1+17,""))</f>
        <v>45518</v>
      </c>
      <c r="N34" s="46">
        <f>IF(DAY(AgoDom1)=1,IF(AND(YEAR(AgoDom1+11)=AñoCalendario,MONTH(AgoDom1+11)=8),AgoDom1+11,""),IF(AND(YEAR(AgoDom1+18)=AñoCalendario,MONTH(AgoDom1+18)=8),AgoDom1+18,""))</f>
        <v>45519</v>
      </c>
      <c r="O34" s="49">
        <f>IF(DAY(AgoDom1)=1,IF(AND(YEAR(AgoDom1+12)=AñoCalendario,MONTH(AgoDom1+12)=8),AgoDom1+12,""),IF(AND(YEAR(AgoDom1+19)=AñoCalendario,MONTH(AgoDom1+19)=8),AgoDom1+19,""))</f>
        <v>45520</v>
      </c>
      <c r="P34" s="46">
        <f>IF(DAY(AgoDom1)=1,IF(AND(YEAR(AgoDom1+13)=AñoCalendario,MONTH(AgoDom1+13)=8),AgoDom1+13,""),IF(AND(YEAR(AgoDom1+20)=AñoCalendario,MONTH(AgoDom1+20)=8),AgoDom1+20,""))</f>
        <v>45521</v>
      </c>
      <c r="Q34" s="15">
        <f>IF(DAY(AgoDom1)=1,IF(AND(YEAR(AgoDom1+14)=AñoCalendario,MONTH(AgoDom1+14)=8),AgoDom1+14,""),IF(AND(YEAR(AgoDom1+21)=AñoCalendario,MONTH(AgoDom1+21)=8),AgoDom1+21,""))</f>
        <v>45522</v>
      </c>
      <c r="S34" s="39"/>
      <c r="U34" s="89"/>
      <c r="V34" s="95"/>
      <c r="W34" s="96"/>
    </row>
    <row r="35" spans="1:23" ht="15" customHeight="1" x14ac:dyDescent="0.25">
      <c r="B35" s="10"/>
      <c r="C35" s="16">
        <f>IF(DAY(JulSun1)=1,IF(AND(YEAR(JulSun1+15)=AñoCalendario,MONTH(JulSun1+15)=7),JulSun1+15,""),IF(AND(YEAR(JulSun1+22)=AñoCalendario,MONTH(JulSun1+22)=7),JulSun1+22,""))</f>
        <v>45495</v>
      </c>
      <c r="D35" s="46">
        <f>IF(DAY(JulSun1)=1,IF(AND(YEAR(JulSun1+16)=AñoCalendario,MONTH(JulSun1+16)=7),JulSun1+16,""),IF(AND(YEAR(JulSun1+23)=AñoCalendario,MONTH(JulSun1+23)=7),JulSun1+23,""))</f>
        <v>45496</v>
      </c>
      <c r="E35" s="46">
        <f>IF(DAY(JulSun1)=1,IF(AND(YEAR(JulSun1+17)=AñoCalendario,MONTH(JulSun1+17)=7),JulSun1+17,""),IF(AND(YEAR(JulSun1+24)=AñoCalendario,MONTH(JulSun1+24)=7),JulSun1+24,""))</f>
        <v>45497</v>
      </c>
      <c r="F35" s="46">
        <f>IF(DAY(JulSun1)=1,IF(AND(YEAR(JulSun1+18)=AñoCalendario,MONTH(JulSun1+18)=7),JulSun1+18,""),IF(AND(YEAR(JulSun1+25)=AñoCalendario,MONTH(JulSun1+25)=7),JulSun1+25,""))</f>
        <v>45498</v>
      </c>
      <c r="G35" s="55">
        <f>IF(DAY(JulSun1)=1,IF(AND(YEAR(JulSun1+19)=AñoCalendario,MONTH(JulSun1+19)=7),JulSun1+19,""),IF(AND(YEAR(JulSun1+26)=AñoCalendario,MONTH(JulSun1+26)=7),JulSun1+26,""))</f>
        <v>45499</v>
      </c>
      <c r="H35" s="46">
        <f>IF(DAY(JulSun1)=1,IF(AND(YEAR(JulSun1+20)=AñoCalendario,MONTH(JulSun1+20)=7),JulSun1+20,""),IF(AND(YEAR(JulSun1+27)=AñoCalendario,MONTH(JulSun1+27)=7),JulSun1+27,""))</f>
        <v>45500</v>
      </c>
      <c r="I35" s="15">
        <f>IF(DAY(JulSun1)=1,IF(AND(YEAR(JulSun1+21)=AñoCalendario,MONTH(JulSun1+21)=7),JulSun1+21,""),IF(AND(YEAR(JulSun1+28)=AñoCalendario,MONTH(JulSun1+28)=7),JulSun1+28,""))</f>
        <v>45501</v>
      </c>
      <c r="J35" s="40"/>
      <c r="K35" s="16">
        <f>IF(DAY(AgoDom1)=1,IF(AND(YEAR(AgoDom1+15)=AñoCalendario,MONTH(AgoDom1+15)=8),AgoDom1+15,""),IF(AND(YEAR(AgoDom1+22)=AñoCalendario,MONTH(AgoDom1+22)=8),AgoDom1+22,""))</f>
        <v>45523</v>
      </c>
      <c r="L35" s="46">
        <f>IF(DAY(AgoDom1)=1,IF(AND(YEAR(AgoDom1+16)=AñoCalendario,MONTH(AgoDom1+16)=8),AgoDom1+16,""),IF(AND(YEAR(AgoDom1+23)=AñoCalendario,MONTH(AgoDom1+23)=8),AgoDom1+23,""))</f>
        <v>45524</v>
      </c>
      <c r="M35" s="46">
        <f>IF(DAY(AgoDom1)=1,IF(AND(YEAR(AgoDom1+17)=AñoCalendario,MONTH(AgoDom1+17)=8),AgoDom1+17,""),IF(AND(YEAR(AgoDom1+24)=AñoCalendario,MONTH(AgoDom1+24)=8),AgoDom1+24,""))</f>
        <v>45525</v>
      </c>
      <c r="N35" s="46">
        <f>IF(DAY(AgoDom1)=1,IF(AND(YEAR(AgoDom1+18)=AñoCalendario,MONTH(AgoDom1+18)=8),AgoDom1+18,""),IF(AND(YEAR(AgoDom1+25)=AñoCalendario,MONTH(AgoDom1+25)=8),AgoDom1+25,""))</f>
        <v>45526</v>
      </c>
      <c r="O35" s="46">
        <f>IF(DAY(AgoDom1)=1,IF(AND(YEAR(AgoDom1+19)=AñoCalendario,MONTH(AgoDom1+19)=8),AgoDom1+19,""),IF(AND(YEAR(AgoDom1+26)=AñoCalendario,MONTH(AgoDom1+26)=8),AgoDom1+26,""))</f>
        <v>45527</v>
      </c>
      <c r="P35" s="46">
        <f>IF(DAY(AgoDom1)=1,IF(AND(YEAR(AgoDom1+20)=AñoCalendario,MONTH(AgoDom1+20)=8),AgoDom1+20,""),IF(AND(YEAR(AgoDom1+27)=AñoCalendario,MONTH(AgoDom1+27)=8),AgoDom1+27,""))</f>
        <v>45528</v>
      </c>
      <c r="Q35" s="15">
        <f>IF(DAY(AgoDom1)=1,IF(AND(YEAR(AgoDom1+21)=AñoCalendario,MONTH(AgoDom1+21)=8),AgoDom1+21,""),IF(AND(YEAR(AgoDom1+28)=AñoCalendario,MONTH(AgoDom1+28)=8),AgoDom1+28,""))</f>
        <v>45529</v>
      </c>
      <c r="S35" s="39"/>
      <c r="U35" s="89"/>
      <c r="V35" s="95"/>
      <c r="W35" s="8" t="s">
        <v>95</v>
      </c>
    </row>
    <row r="36" spans="1:23" ht="15" customHeight="1" x14ac:dyDescent="0.25">
      <c r="B36" s="10"/>
      <c r="C36" s="14">
        <f>IF(DAY(JulSun1)=1,IF(AND(YEAR(JulSun1+22)=AñoCalendario,MONTH(JulSun1+22)=7),JulSun1+22,""),IF(AND(YEAR(JulSun1+29)=AñoCalendario,MONTH(JulSun1+29)=7),JulSun1+29,""))</f>
        <v>45502</v>
      </c>
      <c r="D36" s="46">
        <f>IF(DAY(JulSun1)=1,IF(AND(YEAR(JulSun1+23)=AñoCalendario,MONTH(JulSun1+23)=7),JulSun1+23,""),IF(AND(YEAR(JulSun1+30)=AñoCalendario,MONTH(JulSun1+30)=7),JulSun1+30,""))</f>
        <v>45503</v>
      </c>
      <c r="E36" s="46">
        <f>IF(DAY(JulSun1)=1,IF(AND(YEAR(JulSun1+24)=AñoCalendario,MONTH(JulSun1+24)=7),JulSun1+24,""),IF(AND(YEAR(JulSun1+31)=AñoCalendario,MONTH(JulSun1+31)=7),JulSun1+31,""))</f>
        <v>45504</v>
      </c>
      <c r="F36" s="46" t="str">
        <f>IF(DAY(JulSun1)=1,IF(AND(YEAR(JulSun1+25)=AñoCalendario,MONTH(JulSun1+25)=7),JulSun1+25,""),IF(AND(YEAR(JulSun1+32)=AñoCalendario,MONTH(JulSun1+32)=7),JulSun1+32,""))</f>
        <v/>
      </c>
      <c r="G36" s="46" t="str">
        <f>IF(DAY(JulSun1)=1,IF(AND(YEAR(JulSun1+26)=AñoCalendario,MONTH(JulSun1+26)=7),JulSun1+26,""),IF(AND(YEAR(JulSun1+33)=AñoCalendario,MONTH(JulSun1+33)=7),JulSun1+33,""))</f>
        <v/>
      </c>
      <c r="H36" s="46" t="str">
        <f>IF(DAY(JulSun1)=1,IF(AND(YEAR(JulSun1+27)=AñoCalendario,MONTH(JulSun1+27)=7),JulSun1+27,""),IF(AND(YEAR(JulSun1+34)=AñoCalendario,MONTH(JulSun1+34)=7),JulSun1+34,""))</f>
        <v/>
      </c>
      <c r="I36" s="15" t="str">
        <f>IF(DAY(JulSun1)=1,IF(AND(YEAR(JulSun1+28)=AñoCalendario,MONTH(JulSun1+28)=7),JulSun1+28,""),IF(AND(YEAR(JulSun1+35)=AñoCalendario,MONTH(JulSun1+35)=7),JulSun1+35,""))</f>
        <v/>
      </c>
      <c r="J36" s="40"/>
      <c r="K36" s="14">
        <f>IF(DAY(AgoDom1)=1,IF(AND(YEAR(AgoDom1+22)=AñoCalendario,MONTH(AgoDom1+22)=8),AgoDom1+22,""),IF(AND(YEAR(AgoDom1+29)=AñoCalendario,MONTH(AgoDom1+29)=8),AgoDom1+29,""))</f>
        <v>45530</v>
      </c>
      <c r="L36" s="46">
        <f>IF(DAY(AgoDom1)=1,IF(AND(YEAR(AgoDom1+23)=AñoCalendario,MONTH(AgoDom1+23)=8),AgoDom1+23,""),IF(AND(YEAR(AgoDom1+30)=AñoCalendario,MONTH(AgoDom1+30)=8),AgoDom1+30,""))</f>
        <v>45531</v>
      </c>
      <c r="M36" s="46">
        <f>IF(DAY(AgoDom1)=1,IF(AND(YEAR(AgoDom1+24)=AñoCalendario,MONTH(AgoDom1+24)=8),AgoDom1+24,""),IF(AND(YEAR(AgoDom1+31)=AñoCalendario,MONTH(AgoDom1+31)=8),AgoDom1+31,""))</f>
        <v>45532</v>
      </c>
      <c r="N36" s="46">
        <f>IF(DAY(AgoDom1)=1,IF(AND(YEAR(AgoDom1+25)=AñoCalendario,MONTH(AgoDom1+25)=8),AgoDom1+25,""),IF(AND(YEAR(AgoDom1+32)=AñoCalendario,MONTH(AgoDom1+32)=8),AgoDom1+32,""))</f>
        <v>45533</v>
      </c>
      <c r="O36" s="46">
        <f>IF(DAY(AgoDom1)=1,IF(AND(YEAR(AgoDom1+26)=AñoCalendario,MONTH(AgoDom1+26)=8),AgoDom1+26,""),IF(AND(YEAR(AgoDom1+33)=AñoCalendario,MONTH(AgoDom1+33)=8),AgoDom1+33,""))</f>
        <v>45534</v>
      </c>
      <c r="P36" s="46">
        <f>IF(DAY(AgoDom1)=1,IF(AND(YEAR(AgoDom1+27)=AñoCalendario,MONTH(AgoDom1+27)=8),AgoDom1+27,""),IF(AND(YEAR(AgoDom1+34)=AñoCalendario,MONTH(AgoDom1+34)=8),AgoDom1+34,""))</f>
        <v>45535</v>
      </c>
      <c r="Q36" s="15" t="str">
        <f>IF(DAY(AgoDom1)=1,IF(AND(YEAR(AgoDom1+28)=AñoCalendario,MONTH(AgoDom1+28)=8),AgoDom1+28,""),IF(AND(YEAR(AgoDom1+35)=AñoCalendario,MONTH(AgoDom1+35)=8),AgoDom1+35,""))</f>
        <v/>
      </c>
      <c r="S36" s="39"/>
      <c r="U36" s="89"/>
      <c r="V36" s="95"/>
      <c r="W36" s="8" t="s">
        <v>96</v>
      </c>
    </row>
    <row r="37" spans="1:23" ht="15" customHeight="1" thickBot="1" x14ac:dyDescent="0.3">
      <c r="B37" s="10"/>
      <c r="C37" s="18" t="str">
        <f>IF(DAY(JulSun1)=1,IF(AND(YEAR(JulSun1+29)=AñoCalendario,MONTH(JulSun1+29)=7),JulSun1+29,""),IF(AND(YEAR(JulSun1+36)=AñoCalendario,MONTH(JulSun1+36)=7),JulSun1+36,""))</f>
        <v/>
      </c>
      <c r="D37" s="19" t="str">
        <f>IF(DAY(JulSun1)=1,IF(AND(YEAR(JulSun1+30)=AñoCalendario,MONTH(JulSun1+30)=7),JulSun1+30,""),IF(AND(YEAR(JulSun1+37)=AñoCalendario,MONTH(JulSun1+37)=7),JulSun1+37,""))</f>
        <v/>
      </c>
      <c r="E37" s="19" t="str">
        <f>IF(DAY(JulSun1)=1,IF(AND(YEAR(JulSun1+31)=AñoCalendario,MONTH(JulSun1+31)=7),JulSun1+31,""),IF(AND(YEAR(JulSun1+38)=AñoCalendario,MONTH(JulSun1+38)=7),JulSun1+38,""))</f>
        <v/>
      </c>
      <c r="F37" s="19" t="str">
        <f>IF(DAY(JulSun1)=1,IF(AND(YEAR(JulSun1+32)=AñoCalendario,MONTH(JulSun1+32)=7),JulSun1+32,""),IF(AND(YEAR(JulSun1+39)=AñoCalendario,MONTH(JulSun1+39)=7),JulSun1+39,""))</f>
        <v/>
      </c>
      <c r="G37" s="19" t="str">
        <f>IF(DAY(JulSun1)=1,IF(AND(YEAR(JulSun1+33)=AñoCalendario,MONTH(JulSun1+33)=7),JulSun1+33,""),IF(AND(YEAR(JulSun1+40)=AñoCalendario,MONTH(JulSun1+40)=7),JulSun1+40,""))</f>
        <v/>
      </c>
      <c r="H37" s="19" t="str">
        <f>IF(DAY(JulSun1)=1,IF(AND(YEAR(JulSun1+34)=AñoCalendario,MONTH(JulSun1+34)=7),JulSun1+34,""),IF(AND(YEAR(JulSun1+41)=AñoCalendario,MONTH(JulSun1+41)=7),JulSun1+41,""))</f>
        <v/>
      </c>
      <c r="I37" s="20" t="str">
        <f>IF(DAY(JulSun1)=1,IF(AND(YEAR(JulSun1+35)=AñoCalendario,MONTH(JulSun1+35)=7),JulSun1+35,""),IF(AND(YEAR(JulSun1+42)=AñoCalendario,MONTH(JulSun1+42)=7),JulSun1+42,""))</f>
        <v/>
      </c>
      <c r="J37" s="40"/>
      <c r="K37" s="18" t="str">
        <f>IF(DAY(AgoDom1)=1,IF(AND(YEAR(AgoDom1+29)=AñoCalendario,MONTH(AgoDom1+29)=8),AgoDom1+29,""),IF(AND(YEAR(AgoDom1+36)=AñoCalendario,MONTH(AgoDom1+36)=8),AgoDom1+36,""))</f>
        <v/>
      </c>
      <c r="L37" s="19" t="str">
        <f>IF(DAY(AgoDom1)=1,IF(AND(YEAR(AgoDom1+30)=AñoCalendario,MONTH(AgoDom1+30)=8),AgoDom1+30,""),IF(AND(YEAR(AgoDom1+37)=AñoCalendario,MONTH(AgoDom1+37)=8),AgoDom1+37,""))</f>
        <v/>
      </c>
      <c r="M37" s="19" t="str">
        <f>IF(DAY(AgoDom1)=1,IF(AND(YEAR(AgoDom1+31)=AñoCalendario,MONTH(AgoDom1+31)=8),AgoDom1+31,""),IF(AND(YEAR(AgoDom1+38)=AñoCalendario,MONTH(AgoDom1+38)=8),AgoDom1+38,""))</f>
        <v/>
      </c>
      <c r="N37" s="19" t="str">
        <f>IF(DAY(AgoDom1)=1,IF(AND(YEAR(AgoDom1+32)=AñoCalendario,MONTH(AgoDom1+32)=8),AgoDom1+32,""),IF(AND(YEAR(AgoDom1+39)=AñoCalendario,MONTH(AgoDom1+39)=8),AgoDom1+39,""))</f>
        <v/>
      </c>
      <c r="O37" s="19" t="str">
        <f>IF(DAY(AgoDom1)=1,IF(AND(YEAR(AgoDom1+33)=AñoCalendario,MONTH(AgoDom1+33)=8),AgoDom1+33,""),IF(AND(YEAR(AgoDom1+40)=AñoCalendario,MONTH(AgoDom1+40)=8),AgoDom1+40,""))</f>
        <v/>
      </c>
      <c r="P37" s="19" t="str">
        <f>IF(DAY(AgoDom1)=1,IF(AND(YEAR(AgoDom1+34)=AñoCalendario,MONTH(AgoDom1+34)=8),AgoDom1+34,""),IF(AND(YEAR(AgoDom1+41)=AñoCalendario,MONTH(AgoDom1+41)=8),AgoDom1+41,""))</f>
        <v/>
      </c>
      <c r="Q37" s="20" t="str">
        <f>IF(DAY(AgoDom1)=1,IF(AND(YEAR(AgoDom1+35)=AñoCalendario,MONTH(AgoDom1+35)=8),AgoDom1+35,""),IF(AND(YEAR(AgoDom1+42)=AñoCalendario,MONTH(AgoDom1+42)=8),AgoDom1+42,""))</f>
        <v/>
      </c>
      <c r="S37" s="39"/>
      <c r="U37" s="90"/>
      <c r="V37" s="92"/>
      <c r="W37" s="28"/>
    </row>
    <row r="38" spans="1:23" ht="15" customHeight="1" thickBot="1" x14ac:dyDescent="0.3">
      <c r="B38" s="10"/>
      <c r="C38" s="46"/>
      <c r="D38" s="46"/>
      <c r="E38" s="46"/>
      <c r="F38" s="46"/>
      <c r="G38" s="46"/>
      <c r="H38" s="46"/>
      <c r="I38" s="46"/>
      <c r="J38" s="40"/>
      <c r="K38" s="46"/>
      <c r="L38" s="46"/>
      <c r="M38" s="46"/>
      <c r="N38" s="46"/>
      <c r="O38" s="46"/>
      <c r="P38" s="46"/>
      <c r="Q38" s="46"/>
      <c r="S38" s="39"/>
      <c r="V38" s="56"/>
      <c r="W38" s="27"/>
    </row>
    <row r="39" spans="1:23" ht="15" customHeight="1" x14ac:dyDescent="0.25">
      <c r="A39" s="6" t="s">
        <v>97</v>
      </c>
      <c r="B39" s="10"/>
      <c r="C39" s="83" t="s">
        <v>98</v>
      </c>
      <c r="D39" s="84"/>
      <c r="E39" s="84"/>
      <c r="F39" s="84"/>
      <c r="G39" s="84"/>
      <c r="H39" s="84"/>
      <c r="I39" s="85"/>
      <c r="J39" s="40"/>
      <c r="K39" s="83" t="s">
        <v>99</v>
      </c>
      <c r="L39" s="84"/>
      <c r="M39" s="84"/>
      <c r="N39" s="84"/>
      <c r="O39" s="84"/>
      <c r="P39" s="84"/>
      <c r="Q39" s="85"/>
      <c r="S39" s="39"/>
      <c r="V39" s="57"/>
      <c r="W39" s="29"/>
    </row>
    <row r="40" spans="1:23" ht="15" customHeight="1" x14ac:dyDescent="0.25">
      <c r="A40" s="6" t="s">
        <v>100</v>
      </c>
      <c r="B40" s="10"/>
      <c r="C40" s="12" t="s">
        <v>55</v>
      </c>
      <c r="D40" s="43" t="s">
        <v>56</v>
      </c>
      <c r="E40" s="43" t="s">
        <v>70</v>
      </c>
      <c r="F40" s="43" t="s">
        <v>58</v>
      </c>
      <c r="G40" s="43" t="s">
        <v>59</v>
      </c>
      <c r="H40" s="43" t="s">
        <v>60</v>
      </c>
      <c r="I40" s="13" t="s">
        <v>61</v>
      </c>
      <c r="J40" s="40"/>
      <c r="K40" s="12" t="s">
        <v>55</v>
      </c>
      <c r="L40" s="43" t="s">
        <v>56</v>
      </c>
      <c r="M40" s="43" t="s">
        <v>70</v>
      </c>
      <c r="N40" s="43" t="s">
        <v>58</v>
      </c>
      <c r="O40" s="43" t="s">
        <v>59</v>
      </c>
      <c r="P40" s="43" t="s">
        <v>60</v>
      </c>
      <c r="Q40" s="13" t="s">
        <v>61</v>
      </c>
      <c r="S40" s="39"/>
      <c r="V40" s="58"/>
      <c r="W40" s="29"/>
    </row>
    <row r="41" spans="1:23" ht="15" customHeight="1" x14ac:dyDescent="0.25">
      <c r="B41" s="10"/>
      <c r="C41" s="14" t="str">
        <f>IF(DAY(SepDom1)=1,"",IF(AND(YEAR(SepDom1+1)=AñoCalendario,MONTH(SepDom1+1)=9),SepDom1+1,""))</f>
        <v/>
      </c>
      <c r="D41" s="46" t="str">
        <f>IF(DAY(SepDom1)=1,"",IF(AND(YEAR(SepDom1+2)=AñoCalendario,MONTH(SepDom1+2)=9),SepDom1+2,""))</f>
        <v/>
      </c>
      <c r="E41" s="46" t="str">
        <f>IF(DAY(SepDom1)=1,"",IF(AND(YEAR(SepDom1+3)=AñoCalendario,MONTH(SepDom1+3)=9),SepDom1+3,""))</f>
        <v/>
      </c>
      <c r="F41" s="46" t="str">
        <f>IF(DAY(SepDom1)=1,"",IF(AND(YEAR(SepDom1+4)=AñoCalendario,MONTH(SepDom1+4)=9),SepDom1+4,""))</f>
        <v/>
      </c>
      <c r="G41" s="46" t="str">
        <f>IF(DAY(SepDom1)=1,"",IF(AND(YEAR(SepDom1+5)=AñoCalendario,MONTH(SepDom1+5)=9),SepDom1+5,""))</f>
        <v/>
      </c>
      <c r="H41" s="46" t="str">
        <f>IF(DAY(SepDom1)=1,"",IF(AND(YEAR(SepDom1+6)=AñoCalendario,MONTH(SepDom1+6)=9),SepDom1+6,""))</f>
        <v/>
      </c>
      <c r="I41" s="15">
        <f>IF(DAY(SepDom1)=1,IF(AND(YEAR(SepDom1)=AñoCalendario,MONTH(SepDom1)=9),SepDom1,""),IF(AND(YEAR(SepDom1+7)=AñoCalendario,MONTH(SepDom1+7)=9),SepDom1+7,""))</f>
        <v>45536</v>
      </c>
      <c r="J41" s="40"/>
      <c r="K41" s="14" t="str">
        <f>IF(DAY(OctSun1)=1,"",IF(AND(YEAR(OctSun1+1)=AñoCalendario,MONTH(OctSun1+1)=10),OctSun1+1,""))</f>
        <v/>
      </c>
      <c r="L41" s="46">
        <f>IF(DAY(OctSun1)=1,"",IF(AND(YEAR(OctSun1+2)=AñoCalendario,MONTH(OctSun1+2)=10),OctSun1+2,""))</f>
        <v>45566</v>
      </c>
      <c r="M41" s="46">
        <f>IF(DAY(OctSun1)=1,"",IF(AND(YEAR(OctSun1+3)=AñoCalendario,MONTH(OctSun1+3)=10),OctSun1+3,""))</f>
        <v>45567</v>
      </c>
      <c r="N41" s="46">
        <f>IF(DAY(OctSun1)=1,"",IF(AND(YEAR(OctSun1+4)=AñoCalendario,MONTH(OctSun1+4)=10),OctSun1+4,""))</f>
        <v>45568</v>
      </c>
      <c r="O41" s="47">
        <f>IF(DAY(OctSun1)=1,"",IF(AND(YEAR(OctSun1+5)=AñoCalendario,MONTH(OctSun1+5)=10),OctSun1+5,""))</f>
        <v>45569</v>
      </c>
      <c r="P41" s="46">
        <f>IF(DAY(OctSun1)=1,"",IF(AND(YEAR(OctSun1+6)=AñoCalendario,MONTH(OctSun1+6)=10),OctSun1+6,""))</f>
        <v>45570</v>
      </c>
      <c r="Q41" s="15">
        <f>IF(DAY(OctSun1)=1,IF(AND(YEAR(OctSun1)=AñoCalendario,MONTH(OctSun1)=10),OctSun1,""),IF(AND(YEAR(OctSun1+7)=AñoCalendario,MONTH(OctSun1+7)=10),OctSun1+7,""))</f>
        <v>45571</v>
      </c>
      <c r="S41" s="39"/>
      <c r="W41" s="17"/>
    </row>
    <row r="42" spans="1:23" ht="15" customHeight="1" x14ac:dyDescent="0.25">
      <c r="B42" s="10"/>
      <c r="C42" s="14">
        <f>IF(DAY(SepDom1)=1,IF(AND(YEAR(SepDom1+1)=AñoCalendario,MONTH(SepDom1+1)=9),SepDom1+1,""),IF(AND(YEAR(SepDom1+8)=AñoCalendario,MONTH(SepDom1+8)=9),SepDom1+8,""))</f>
        <v>45537</v>
      </c>
      <c r="D42" s="46">
        <f>IF(DAY(SepDom1)=1,IF(AND(YEAR(SepDom1+2)=AñoCalendario,MONTH(SepDom1+2)=9),SepDom1+2,""),IF(AND(YEAR(SepDom1+9)=AñoCalendario,MONTH(SepDom1+9)=9),SepDom1+9,""))</f>
        <v>45538</v>
      </c>
      <c r="E42" s="46">
        <f>IF(DAY(SepDom1)=1,IF(AND(YEAR(SepDom1+3)=AñoCalendario,MONTH(SepDom1+3)=9),SepDom1+3,""),IF(AND(YEAR(SepDom1+10)=AñoCalendario,MONTH(SepDom1+10)=9),SepDom1+10,""))</f>
        <v>45539</v>
      </c>
      <c r="F42" s="46">
        <f>IF(DAY(SepDom1)=1,IF(AND(YEAR(SepDom1+4)=AñoCalendario,MONTH(SepDom1+4)=9),SepDom1+4,""),IF(AND(YEAR(SepDom1+11)=AñoCalendario,MONTH(SepDom1+11)=9),SepDom1+11,""))</f>
        <v>45540</v>
      </c>
      <c r="G42" s="47">
        <f>IF(DAY(SepDom1)=1,IF(AND(YEAR(SepDom1+5)=AñoCalendario,MONTH(SepDom1+5)=9),SepDom1+5,""),IF(AND(YEAR(SepDom1+12)=AñoCalendario,MONTH(SepDom1+12)=9),SepDom1+12,""))</f>
        <v>45541</v>
      </c>
      <c r="H42" s="46">
        <f>IF(DAY(SepDom1)=1,IF(AND(YEAR(SepDom1+6)=AñoCalendario,MONTH(SepDom1+6)=9),SepDom1+6,""),IF(AND(YEAR(SepDom1+13)=AñoCalendario,MONTH(SepDom1+13)=9),SepDom1+13,""))</f>
        <v>45542</v>
      </c>
      <c r="I42" s="15">
        <f>IF(DAY(SepDom1)=1,IF(AND(YEAR(SepDom1+7)=AñoCalendario,MONTH(SepDom1+7)=9),SepDom1+7,""),IF(AND(YEAR(SepDom1+14)=AñoCalendario,MONTH(SepDom1+14)=9),SepDom1+14,""))</f>
        <v>45543</v>
      </c>
      <c r="J42" s="40"/>
      <c r="K42" s="16">
        <f>IF(DAY(OctSun1)=1,IF(AND(YEAR(OctSun1+1)=AñoCalendario,MONTH(OctSun1+1)=10),OctSun1+1,""),IF(AND(YEAR(OctSun1+8)=AñoCalendario,MONTH(OctSun1+8)=10),OctSun1+8,""))</f>
        <v>45572</v>
      </c>
      <c r="L42" s="46">
        <f>IF(DAY(OctSun1)=1,IF(AND(YEAR(OctSun1+2)=AñoCalendario,MONTH(OctSun1+2)=10),OctSun1+2,""),IF(AND(YEAR(OctSun1+9)=AñoCalendario,MONTH(OctSun1+9)=10),OctSun1+9,""))</f>
        <v>45573</v>
      </c>
      <c r="M42" s="46">
        <f>IF(DAY(OctSun1)=1,IF(AND(YEAR(OctSun1+3)=AñoCalendario,MONTH(OctSun1+3)=10),OctSun1+3,""),IF(AND(YEAR(OctSun1+10)=AñoCalendario,MONTH(OctSun1+10)=10),OctSun1+10,""))</f>
        <v>45574</v>
      </c>
      <c r="N42" s="46">
        <f>IF(DAY(OctSun1)=1,IF(AND(YEAR(OctSun1+4)=AñoCalendario,MONTH(OctSun1+4)=10),OctSun1+4,""),IF(AND(YEAR(OctSun1+11)=AñoCalendario,MONTH(OctSun1+11)=10),OctSun1+11,""))</f>
        <v>45575</v>
      </c>
      <c r="O42" s="46">
        <f>IF(DAY(OctSun1)=1,IF(AND(YEAR(OctSun1+5)=AñoCalendario,MONTH(OctSun1+5)=10),OctSun1+5,""),IF(AND(YEAR(OctSun1+12)=AñoCalendario,MONTH(OctSun1+12)=10),OctSun1+12,""))</f>
        <v>45576</v>
      </c>
      <c r="P42" s="46">
        <f>IF(DAY(OctSun1)=1,IF(AND(YEAR(OctSun1+6)=AñoCalendario,MONTH(OctSun1+6)=10),OctSun1+6,""),IF(AND(YEAR(OctSun1+13)=AñoCalendario,MONTH(OctSun1+13)=10),OctSun1+13,""))</f>
        <v>45577</v>
      </c>
      <c r="Q42" s="15">
        <f>IF(DAY(OctSun1)=1,IF(AND(YEAR(OctSun1+7)=AñoCalendario,MONTH(OctSun1+7)=10),OctSun1+7,""),IF(AND(YEAR(OctSun1+14)=AñoCalendario,MONTH(OctSun1+14)=10),OctSun1+14,""))</f>
        <v>45578</v>
      </c>
      <c r="S42" s="39"/>
      <c r="V42" s="57"/>
      <c r="W42" s="29"/>
    </row>
    <row r="43" spans="1:23" ht="15" customHeight="1" x14ac:dyDescent="0.25">
      <c r="B43" s="10"/>
      <c r="C43" s="16">
        <f>IF(DAY(SepDom1)=1,IF(AND(YEAR(SepDom1+8)=AñoCalendario,MONTH(SepDom1+8)=9),SepDom1+8,""),IF(AND(YEAR(SepDom1+15)=AñoCalendario,MONTH(SepDom1+15)=9),SepDom1+15,""))</f>
        <v>45544</v>
      </c>
      <c r="D43" s="46">
        <f>IF(DAY(SepDom1)=1,IF(AND(YEAR(SepDom1+9)=AñoCalendario,MONTH(SepDom1+9)=9),SepDom1+9,""),IF(AND(YEAR(SepDom1+16)=AñoCalendario,MONTH(SepDom1+16)=9),SepDom1+16,""))</f>
        <v>45545</v>
      </c>
      <c r="E43" s="46">
        <f>IF(DAY(SepDom1)=1,IF(AND(YEAR(SepDom1+10)=AñoCalendario,MONTH(SepDom1+10)=9),SepDom1+10,""),IF(AND(YEAR(SepDom1+17)=AñoCalendario,MONTH(SepDom1+17)=9),SepDom1+17,""))</f>
        <v>45546</v>
      </c>
      <c r="F43" s="46">
        <f>IF(DAY(SepDom1)=1,IF(AND(YEAR(SepDom1+11)=AñoCalendario,MONTH(SepDom1+11)=9),SepDom1+11,""),IF(AND(YEAR(SepDom1+18)=AñoCalendario,MONTH(SepDom1+18)=9),SepDom1+18,""))</f>
        <v>45547</v>
      </c>
      <c r="G43" s="46">
        <f>IF(DAY(SepDom1)=1,IF(AND(YEAR(SepDom1+12)=AñoCalendario,MONTH(SepDom1+12)=9),SepDom1+12,""),IF(AND(YEAR(SepDom1+19)=AñoCalendario,MONTH(SepDom1+19)=9),SepDom1+19,""))</f>
        <v>45548</v>
      </c>
      <c r="H43" s="46">
        <f>IF(DAY(SepDom1)=1,IF(AND(YEAR(SepDom1+13)=AñoCalendario,MONTH(SepDom1+13)=9),SepDom1+13,""),IF(AND(YEAR(SepDom1+20)=AñoCalendario,MONTH(SepDom1+20)=9),SepDom1+20,""))</f>
        <v>45549</v>
      </c>
      <c r="I43" s="15">
        <f>IF(DAY(SepDom1)=1,IF(AND(YEAR(SepDom1+14)=AñoCalendario,MONTH(SepDom1+14)=9),SepDom1+14,""),IF(AND(YEAR(SepDom1+21)=AñoCalendario,MONTH(SepDom1+21)=9),SepDom1+21,""))</f>
        <v>45550</v>
      </c>
      <c r="J43" s="40"/>
      <c r="K43" s="14">
        <f>IF(DAY(OctSun1)=1,IF(AND(YEAR(OctSun1+8)=AñoCalendario,MONTH(OctSun1+8)=10),OctSun1+8,""),IF(AND(YEAR(OctSun1+15)=AñoCalendario,MONTH(OctSun1+15)=10),OctSun1+15,""))</f>
        <v>45579</v>
      </c>
      <c r="L43" s="46">
        <f>IF(DAY(OctSun1)=1,IF(AND(YEAR(OctSun1+9)=AñoCalendario,MONTH(OctSun1+9)=10),OctSun1+9,""),IF(AND(YEAR(OctSun1+16)=AñoCalendario,MONTH(OctSun1+16)=10),OctSun1+16,""))</f>
        <v>45580</v>
      </c>
      <c r="M43" s="46">
        <f>IF(DAY(OctSun1)=1,IF(AND(YEAR(OctSun1+10)=AñoCalendario,MONTH(OctSun1+10)=10),OctSun1+10,""),IF(AND(YEAR(OctSun1+17)=AñoCalendario,MONTH(OctSun1+17)=10),OctSun1+17,""))</f>
        <v>45581</v>
      </c>
      <c r="N43" s="46">
        <f>IF(DAY(OctSun1)=1,IF(AND(YEAR(OctSun1+11)=AñoCalendario,MONTH(OctSun1+11)=10),OctSun1+11,""),IF(AND(YEAR(OctSun1+18)=AñoCalendario,MONTH(OctSun1+18)=10),OctSun1+18,""))</f>
        <v>45582</v>
      </c>
      <c r="O43" s="49">
        <f>IF(DAY(OctSun1)=1,IF(AND(YEAR(OctSun1+12)=AñoCalendario,MONTH(OctSun1+12)=10),OctSun1+12,""),IF(AND(YEAR(OctSun1+19)=AñoCalendario,MONTH(OctSun1+19)=10),OctSun1+19,""))</f>
        <v>45583</v>
      </c>
      <c r="P43" s="46">
        <f>IF(DAY(OctSun1)=1,IF(AND(YEAR(OctSun1+13)=AñoCalendario,MONTH(OctSun1+13)=10),OctSun1+13,""),IF(AND(YEAR(OctSun1+20)=AñoCalendario,MONTH(OctSun1+20)=10),OctSun1+20,""))</f>
        <v>45584</v>
      </c>
      <c r="Q43" s="15">
        <f>IF(DAY(OctSun1)=1,IF(AND(YEAR(OctSun1+14)=AñoCalendario,MONTH(OctSun1+14)=10),OctSun1+14,""),IF(AND(YEAR(OctSun1+21)=AñoCalendario,MONTH(OctSun1+21)=10),OctSun1+21,""))</f>
        <v>45585</v>
      </c>
      <c r="S43" s="39"/>
      <c r="V43" s="58"/>
      <c r="W43" s="29"/>
    </row>
    <row r="44" spans="1:23" ht="15" customHeight="1" x14ac:dyDescent="0.25">
      <c r="A44" s="6" t="s">
        <v>101</v>
      </c>
      <c r="B44" s="10"/>
      <c r="C44" s="14">
        <f>IF(DAY(SepDom1)=1,IF(AND(YEAR(SepDom1+15)=AñoCalendario,MONTH(SepDom1+15)=9),SepDom1+15,""),IF(AND(YEAR(SepDom1+22)=AñoCalendario,MONTH(SepDom1+22)=9),SepDom1+22,""))</f>
        <v>45551</v>
      </c>
      <c r="D44" s="46">
        <f>IF(DAY(SepDom1)=1,IF(AND(YEAR(SepDom1+16)=AñoCalendario,MONTH(SepDom1+16)=9),SepDom1+16,""),IF(AND(YEAR(SepDom1+23)=AñoCalendario,MONTH(SepDom1+23)=9),SepDom1+23,""))</f>
        <v>45552</v>
      </c>
      <c r="E44" s="46">
        <f>IF(DAY(SepDom1)=1,IF(AND(YEAR(SepDom1+17)=AñoCalendario,MONTH(SepDom1+17)=9),SepDom1+17,""),IF(AND(YEAR(SepDom1+24)=AñoCalendario,MONTH(SepDom1+24)=9),SepDom1+24,""))</f>
        <v>45553</v>
      </c>
      <c r="F44" s="46">
        <f>IF(DAY(SepDom1)=1,IF(AND(YEAR(SepDom1+18)=AñoCalendario,MONTH(SepDom1+18)=9),SepDom1+18,""),IF(AND(YEAR(SepDom1+25)=AñoCalendario,MONTH(SepDom1+25)=9),SepDom1+25,""))</f>
        <v>45554</v>
      </c>
      <c r="G44" s="49">
        <f>IF(DAY(SepDom1)=1,IF(AND(YEAR(SepDom1+19)=AñoCalendario,MONTH(SepDom1+19)=9),SepDom1+19,""),IF(AND(YEAR(SepDom1+26)=AñoCalendario,MONTH(SepDom1+26)=9),SepDom1+26,""))</f>
        <v>45555</v>
      </c>
      <c r="H44" s="46">
        <f>IF(DAY(SepDom1)=1,IF(AND(YEAR(SepDom1+20)=AñoCalendario,MONTH(SepDom1+20)=9),SepDom1+20,""),IF(AND(YEAR(SepDom1+27)=AñoCalendario,MONTH(SepDom1+27)=9),SepDom1+27,""))</f>
        <v>45556</v>
      </c>
      <c r="I44" s="15">
        <f>IF(DAY(SepDom1)=1,IF(AND(YEAR(SepDom1+21)=AñoCalendario,MONTH(SepDom1+21)=9),SepDom1+21,""),IF(AND(YEAR(SepDom1+28)=AñoCalendario,MONTH(SepDom1+28)=9),SepDom1+28,""))</f>
        <v>45557</v>
      </c>
      <c r="J44" s="40"/>
      <c r="K44" s="14">
        <f>IF(DAY(OctSun1)=1,IF(AND(YEAR(OctSun1+15)=AñoCalendario,MONTH(OctSun1+15)=10),OctSun1+15,""),IF(AND(YEAR(OctSun1+22)=AñoCalendario,MONTH(OctSun1+22)=10),OctSun1+22,""))</f>
        <v>45586</v>
      </c>
      <c r="L44" s="46">
        <f>IF(DAY(OctSun1)=1,IF(AND(YEAR(OctSun1+16)=AñoCalendario,MONTH(OctSun1+16)=10),OctSun1+16,""),IF(AND(YEAR(OctSun1+23)=AñoCalendario,MONTH(OctSun1+23)=10),OctSun1+23,""))</f>
        <v>45587</v>
      </c>
      <c r="M44" s="46">
        <f>IF(DAY(OctSun1)=1,IF(AND(YEAR(OctSun1+17)=AñoCalendario,MONTH(OctSun1+17)=10),OctSun1+17,""),IF(AND(YEAR(OctSun1+24)=AñoCalendario,MONTH(OctSun1+24)=10),OctSun1+24,""))</f>
        <v>45588</v>
      </c>
      <c r="N44" s="46">
        <f>IF(DAY(OctSun1)=1,IF(AND(YEAR(OctSun1+18)=AñoCalendario,MONTH(OctSun1+18)=10),OctSun1+18,""),IF(AND(YEAR(OctSun1+25)=AñoCalendario,MONTH(OctSun1+25)=10),OctSun1+25,""))</f>
        <v>45589</v>
      </c>
      <c r="O44" s="46">
        <f>IF(DAY(OctSun1)=1,IF(AND(YEAR(OctSun1+19)=AñoCalendario,MONTH(OctSun1+19)=10),OctSun1+19,""),IF(AND(YEAR(OctSun1+26)=AñoCalendario,MONTH(OctSun1+26)=10),OctSun1+26,""))</f>
        <v>45590</v>
      </c>
      <c r="P44" s="46">
        <f>IF(DAY(OctSun1)=1,IF(AND(YEAR(OctSun1+20)=AñoCalendario,MONTH(OctSun1+20)=10),OctSun1+20,""),IF(AND(YEAR(OctSun1+27)=AñoCalendario,MONTH(OctSun1+27)=10),OctSun1+27,""))</f>
        <v>45591</v>
      </c>
      <c r="Q44" s="15">
        <f>IF(DAY(OctSun1)=1,IF(AND(YEAR(OctSun1+21)=AñoCalendario,MONTH(OctSun1+21)=10),OctSun1+21,""),IF(AND(YEAR(OctSun1+28)=AñoCalendario,MONTH(OctSun1+28)=10),OctSun1+28,""))</f>
        <v>45592</v>
      </c>
      <c r="S44" s="39"/>
      <c r="W44" s="17"/>
    </row>
    <row r="45" spans="1:23" ht="15" customHeight="1" x14ac:dyDescent="0.25">
      <c r="A45" s="6" t="s">
        <v>102</v>
      </c>
      <c r="B45" s="10"/>
      <c r="C45" s="16">
        <f>IF(DAY(SepDom1)=1,IF(AND(YEAR(SepDom1+22)=AñoCalendario,MONTH(SepDom1+22)=9),SepDom1+22,""),IF(AND(YEAR(SepDom1+29)=AñoCalendario,MONTH(SepDom1+29)=9),SepDom1+29,""))</f>
        <v>45558</v>
      </c>
      <c r="D45" s="46">
        <f>IF(DAY(SepDom1)=1,IF(AND(YEAR(SepDom1+23)=AñoCalendario,MONTH(SepDom1+23)=9),SepDom1+23,""),IF(AND(YEAR(SepDom1+30)=AñoCalendario,MONTH(SepDom1+30)=9),SepDom1+30,""))</f>
        <v>45559</v>
      </c>
      <c r="E45" s="46">
        <f>IF(DAY(SepDom1)=1,IF(AND(YEAR(SepDom1+24)=AñoCalendario,MONTH(SepDom1+24)=9),SepDom1+24,""),IF(AND(YEAR(SepDom1+31)=AñoCalendario,MONTH(SepDom1+31)=9),SepDom1+31,""))</f>
        <v>45560</v>
      </c>
      <c r="F45" s="46">
        <f>IF(DAY(SepDom1)=1,IF(AND(YEAR(SepDom1+25)=AñoCalendario,MONTH(SepDom1+25)=9),SepDom1+25,""),IF(AND(YEAR(SepDom1+32)=AñoCalendario,MONTH(SepDom1+32)=9),SepDom1+32,""))</f>
        <v>45561</v>
      </c>
      <c r="G45" s="46">
        <f>IF(DAY(SepDom1)=1,IF(AND(YEAR(SepDom1+26)=AñoCalendario,MONTH(SepDom1+26)=9),SepDom1+26,""),IF(AND(YEAR(SepDom1+33)=AñoCalendario,MONTH(SepDom1+33)=9),SepDom1+33,""))</f>
        <v>45562</v>
      </c>
      <c r="H45" s="46">
        <f>IF(DAY(SepDom1)=1,IF(AND(YEAR(SepDom1+27)=AñoCalendario,MONTH(SepDom1+27)=9),SepDom1+27,""),IF(AND(YEAR(SepDom1+34)=AñoCalendario,MONTH(SepDom1+34)=9),SepDom1+34,""))</f>
        <v>45563</v>
      </c>
      <c r="I45" s="15">
        <f>IF(DAY(SepDom1)=1,IF(AND(YEAR(SepDom1+28)=AñoCalendario,MONTH(SepDom1+28)=9),SepDom1+28,""),IF(AND(YEAR(SepDom1+35)=AñoCalendario,MONTH(SepDom1+35)=9),SepDom1+35,""))</f>
        <v>45564</v>
      </c>
      <c r="J45" s="40"/>
      <c r="K45" s="16">
        <f>IF(DAY(OctSun1)=1,IF(AND(YEAR(OctSun1+22)=AñoCalendario,MONTH(OctSun1+22)=10),OctSun1+22,""),IF(AND(YEAR(OctSun1+29)=AñoCalendario,MONTH(OctSun1+29)=10),OctSun1+29,""))</f>
        <v>45593</v>
      </c>
      <c r="L45" s="46">
        <f>IF(DAY(OctSun1)=1,IF(AND(YEAR(OctSun1+23)=AñoCalendario,MONTH(OctSun1+23)=10),OctSun1+23,""),IF(AND(YEAR(OctSun1+30)=AñoCalendario,MONTH(OctSun1+30)=10),OctSun1+30,""))</f>
        <v>45594</v>
      </c>
      <c r="M45" s="46">
        <f>IF(DAY(OctSun1)=1,IF(AND(YEAR(OctSun1+24)=AñoCalendario,MONTH(OctSun1+24)=10),OctSun1+24,""),IF(AND(YEAR(OctSun1+31)=AñoCalendario,MONTH(OctSun1+31)=10),OctSun1+31,""))</f>
        <v>45595</v>
      </c>
      <c r="N45" s="46">
        <f>IF(DAY(OctSun1)=1,IF(AND(YEAR(OctSun1+25)=AñoCalendario,MONTH(OctSun1+25)=10),OctSun1+25,""),IF(AND(YEAR(OctSun1+32)=AñoCalendario,MONTH(OctSun1+32)=10),OctSun1+32,""))</f>
        <v>45596</v>
      </c>
      <c r="O45" s="46" t="str">
        <f>IF(DAY(OctSun1)=1,IF(AND(YEAR(OctSun1+26)=AñoCalendario,MONTH(OctSun1+26)=10),OctSun1+26,""),IF(AND(YEAR(OctSun1+33)=AñoCalendario,MONTH(OctSun1+33)=10),OctSun1+33,""))</f>
        <v/>
      </c>
      <c r="P45" s="46" t="str">
        <f>IF(DAY(OctSun1)=1,IF(AND(YEAR(OctSun1+27)=AñoCalendario,MONTH(OctSun1+27)=10),OctSun1+27,""),IF(AND(YEAR(OctSun1+34)=AñoCalendario,MONTH(OctSun1+34)=10),OctSun1+34,""))</f>
        <v/>
      </c>
      <c r="Q45" s="15" t="str">
        <f>IF(DAY(OctSun1)=1,IF(AND(YEAR(OctSun1+28)=AñoCalendario,MONTH(OctSun1+28)=10),OctSun1+28,""),IF(AND(YEAR(OctSun1+35)=AñoCalendario,MONTH(OctSun1+35)=10),OctSun1+35,""))</f>
        <v/>
      </c>
      <c r="S45" s="39"/>
      <c r="W45" s="17"/>
    </row>
    <row r="46" spans="1:23" ht="15" customHeight="1" thickBot="1" x14ac:dyDescent="0.3">
      <c r="A46" s="6"/>
      <c r="B46" s="10"/>
      <c r="C46" s="18">
        <f>IF(DAY(SepDom1)=1,IF(AND(YEAR(SepDom1+29)=AñoCalendario,MONTH(SepDom1+29)=9),SepDom1+29,""),IF(AND(YEAR(SepDom1+36)=AñoCalendario,MONTH(SepDom1+36)=9),SepDom1+36,""))</f>
        <v>45565</v>
      </c>
      <c r="D46" s="19" t="str">
        <f>IF(DAY(SepDom1)=1,IF(AND(YEAR(SepDom1+30)=AñoCalendario,MONTH(SepDom1+30)=9),SepDom1+30,""),IF(AND(YEAR(SepDom1+37)=AñoCalendario,MONTH(SepDom1+37)=9),SepDom1+37,""))</f>
        <v/>
      </c>
      <c r="E46" s="19" t="str">
        <f>IF(DAY(SepDom1)=1,IF(AND(YEAR(SepDom1+31)=AñoCalendario,MONTH(SepDom1+31)=9),SepDom1+31,""),IF(AND(YEAR(SepDom1+38)=AñoCalendario,MONTH(SepDom1+38)=9),SepDom1+38,""))</f>
        <v/>
      </c>
      <c r="F46" s="19" t="str">
        <f>IF(DAY(SepDom1)=1,IF(AND(YEAR(SepDom1+32)=AñoCalendario,MONTH(SepDom1+32)=9),SepDom1+32,""),IF(AND(YEAR(SepDom1+39)=AñoCalendario,MONTH(SepDom1+39)=9),SepDom1+39,""))</f>
        <v/>
      </c>
      <c r="G46" s="19" t="str">
        <f>IF(DAY(SepDom1)=1,IF(AND(YEAR(SepDom1+33)=AñoCalendario,MONTH(SepDom1+33)=9),SepDom1+33,""),IF(AND(YEAR(SepDom1+40)=AñoCalendario,MONTH(SepDom1+40)=9),SepDom1+40,""))</f>
        <v/>
      </c>
      <c r="H46" s="19" t="str">
        <f>IF(DAY(SepDom1)=1,IF(AND(YEAR(SepDom1+34)=AñoCalendario,MONTH(SepDom1+34)=9),SepDom1+34,""),IF(AND(YEAR(SepDom1+41)=AñoCalendario,MONTH(SepDom1+41)=9),SepDom1+41,""))</f>
        <v/>
      </c>
      <c r="I46" s="20" t="str">
        <f>IF(DAY(SepDom1)=1,IF(AND(YEAR(SepDom1+35)=AñoCalendario,MONTH(SepDom1+35)=9),SepDom1+35,""),IF(AND(YEAR(SepDom1+42)=AñoCalendario,MONTH(SepDom1+42)=9),SepDom1+42,""))</f>
        <v/>
      </c>
      <c r="J46" s="40"/>
      <c r="K46" s="18" t="str">
        <f>IF(DAY(OctSun1)=1,IF(AND(YEAR(OctSun1+29)=AñoCalendario,MONTH(OctSun1+29)=10),OctSun1+29,""),IF(AND(YEAR(OctSun1+36)=AñoCalendario,MONTH(OctSun1+36)=10),OctSun1+36,""))</f>
        <v/>
      </c>
      <c r="L46" s="19" t="str">
        <f>IF(DAY(OctSun1)=1,IF(AND(YEAR(OctSun1+30)=AñoCalendario,MONTH(OctSun1+30)=10),OctSun1+30,""),IF(AND(YEAR(OctSun1+37)=AñoCalendario,MONTH(OctSun1+37)=10),OctSun1+37,""))</f>
        <v/>
      </c>
      <c r="M46" s="19" t="str">
        <f>IF(DAY(OctSun1)=1,IF(AND(YEAR(OctSun1+31)=AñoCalendario,MONTH(OctSun1+31)=10),OctSun1+31,""),IF(AND(YEAR(OctSun1+38)=AñoCalendario,MONTH(OctSun1+38)=10),OctSun1+38,""))</f>
        <v/>
      </c>
      <c r="N46" s="19" t="str">
        <f>IF(DAY(OctSun1)=1,IF(AND(YEAR(OctSun1+32)=AñoCalendario,MONTH(OctSun1+32)=10),OctSun1+32,""),IF(AND(YEAR(OctSun1+39)=AñoCalendario,MONTH(OctSun1+39)=10),OctSun1+39,""))</f>
        <v/>
      </c>
      <c r="O46" s="19" t="str">
        <f>IF(DAY(OctSun1)=1,IF(AND(YEAR(OctSun1+33)=AñoCalendario,MONTH(OctSun1+33)=10),OctSun1+33,""),IF(AND(YEAR(OctSun1+40)=AñoCalendario,MONTH(OctSun1+40)=10),OctSun1+40,""))</f>
        <v/>
      </c>
      <c r="P46" s="19" t="str">
        <f>IF(DAY(OctSun1)=1,IF(AND(YEAR(OctSun1+34)=AñoCalendario,MONTH(OctSun1+34)=10),OctSun1+34,""),IF(AND(YEAR(OctSun1+41)=AñoCalendario,MONTH(OctSun1+41)=10),OctSun1+41,""))</f>
        <v/>
      </c>
      <c r="Q46" s="20" t="str">
        <f>IF(DAY(OctSun1)=1,IF(AND(YEAR(OctSun1+35)=AñoCalendario,MONTH(OctSun1+35)=10),OctSun1+35,""),IF(AND(YEAR(OctSun1+42)=AñoCalendario,MONTH(OctSun1+42)=10),OctSun1+42,""))</f>
        <v/>
      </c>
      <c r="S46" s="39"/>
      <c r="V46" s="59"/>
      <c r="W46" s="29"/>
    </row>
    <row r="47" spans="1:23" ht="15" customHeight="1" thickBot="1" x14ac:dyDescent="0.3">
      <c r="A47" s="6" t="s">
        <v>103</v>
      </c>
      <c r="B47" s="10"/>
      <c r="C47" s="40"/>
      <c r="D47" s="40"/>
      <c r="E47" s="40"/>
      <c r="F47" s="40"/>
      <c r="G47" s="40"/>
      <c r="H47" s="40"/>
      <c r="I47" s="40"/>
      <c r="J47" s="40"/>
      <c r="K47" s="40"/>
      <c r="L47" s="40"/>
      <c r="M47" s="40"/>
      <c r="N47" s="40"/>
      <c r="O47" s="40"/>
      <c r="P47" s="40"/>
      <c r="Q47" s="40"/>
      <c r="S47" s="39"/>
      <c r="V47" s="59"/>
      <c r="W47" s="29"/>
    </row>
    <row r="48" spans="1:23" ht="15" customHeight="1" x14ac:dyDescent="0.25">
      <c r="A48" s="6" t="s">
        <v>104</v>
      </c>
      <c r="B48" s="10"/>
      <c r="C48" s="83" t="s">
        <v>105</v>
      </c>
      <c r="D48" s="84"/>
      <c r="E48" s="84"/>
      <c r="F48" s="84"/>
      <c r="G48" s="84"/>
      <c r="H48" s="84"/>
      <c r="I48" s="85"/>
      <c r="J48" s="40"/>
      <c r="K48" s="83" t="s">
        <v>106</v>
      </c>
      <c r="L48" s="84"/>
      <c r="M48" s="84"/>
      <c r="N48" s="84"/>
      <c r="O48" s="84"/>
      <c r="P48" s="84"/>
      <c r="Q48" s="85"/>
      <c r="S48" s="39"/>
      <c r="V48" s="59"/>
      <c r="W48" s="29"/>
    </row>
    <row r="49" spans="1:23" ht="15" customHeight="1" x14ac:dyDescent="0.25">
      <c r="A49" s="6" t="s">
        <v>107</v>
      </c>
      <c r="B49" s="10"/>
      <c r="C49" s="12" t="s">
        <v>55</v>
      </c>
      <c r="D49" s="43" t="s">
        <v>56</v>
      </c>
      <c r="E49" s="43" t="s">
        <v>70</v>
      </c>
      <c r="F49" s="43" t="s">
        <v>58</v>
      </c>
      <c r="G49" s="43" t="s">
        <v>59</v>
      </c>
      <c r="H49" s="43" t="s">
        <v>60</v>
      </c>
      <c r="I49" s="13" t="s">
        <v>61</v>
      </c>
      <c r="J49" s="40"/>
      <c r="K49" s="12" t="s">
        <v>55</v>
      </c>
      <c r="L49" s="43" t="s">
        <v>56</v>
      </c>
      <c r="M49" s="43" t="s">
        <v>70</v>
      </c>
      <c r="N49" s="43" t="s">
        <v>58</v>
      </c>
      <c r="O49" s="43" t="s">
        <v>59</v>
      </c>
      <c r="P49" s="43" t="s">
        <v>60</v>
      </c>
      <c r="Q49" s="13" t="s">
        <v>61</v>
      </c>
      <c r="S49" s="39"/>
      <c r="V49" s="59"/>
      <c r="W49" s="29"/>
    </row>
    <row r="50" spans="1:23" ht="15" customHeight="1" x14ac:dyDescent="0.25">
      <c r="A50" s="6"/>
      <c r="B50" s="10"/>
      <c r="C50" s="14" t="str">
        <f>IF(DAY(NovSun1)=1,"",IF(AND(YEAR(NovSun1+1)=AñoCalendario,MONTH(NovSun1+1)=11),NovSun1+1,""))</f>
        <v/>
      </c>
      <c r="D50" s="46" t="str">
        <f>IF(DAY(NovSun1)=1,"",IF(AND(YEAR(NovSun1+2)=AñoCalendario,MONTH(NovSun1+2)=11),NovSun1+2,""))</f>
        <v/>
      </c>
      <c r="E50" s="46" t="str">
        <f>IF(DAY(NovSun1)=1,"",IF(AND(YEAR(NovSun1+3)=AñoCalendario,MONTH(NovSun1+3)=11),NovSun1+3,""))</f>
        <v/>
      </c>
      <c r="F50" s="46" t="str">
        <f>IF(DAY(NovSun1)=1,"",IF(AND(YEAR(NovSun1+4)=AñoCalendario,MONTH(NovSun1+4)=11),NovSun1+4,""))</f>
        <v/>
      </c>
      <c r="G50" s="47">
        <f>IF(DAY(NovSun1)=1,"",IF(AND(YEAR(NovSun1+5)=AñoCalendario,MONTH(NovSun1+5)=11),NovSun1+5,""))</f>
        <v>45597</v>
      </c>
      <c r="H50" s="46">
        <f>IF(DAY(NovSun1)=1,"",IF(AND(YEAR(NovSun1+6)=AñoCalendario,MONTH(NovSun1+6)=11),NovSun1+6,""))</f>
        <v>45598</v>
      </c>
      <c r="I50" s="15">
        <f>IF(DAY(NovSun1)=1,IF(AND(YEAR(NovSun1)=AñoCalendario,MONTH(NovSun1)=11),NovSun1,""),IF(AND(YEAR(NovSun1+7)=AñoCalendario,MONTH(NovSun1+7)=11),NovSun1+7,""))</f>
        <v>45599</v>
      </c>
      <c r="J50" s="40"/>
      <c r="K50" s="14" t="str">
        <f>IF(DAY(DecSun1)=1,"",IF(AND(YEAR(DecSun1+1)=AñoCalendario,MONTH(DecSun1+1)=12),DecSun1+1,""))</f>
        <v/>
      </c>
      <c r="L50" s="46" t="str">
        <f>IF(DAY(DecSun1)=1,"",IF(AND(YEAR(DecSun1+2)=AñoCalendario,MONTH(DecSun1+2)=12),DecSun1+2,""))</f>
        <v/>
      </c>
      <c r="M50" s="46" t="str">
        <f>IF(DAY(DecSun1)=1,"",IF(AND(YEAR(DecSun1+3)=AñoCalendario,MONTH(DecSun1+3)=12),DecSun1+3,""))</f>
        <v/>
      </c>
      <c r="N50" s="46" t="str">
        <f>IF(DAY(DecSun1)=1,"",IF(AND(YEAR(DecSun1+4)=AñoCalendario,MONTH(DecSun1+4)=12),DecSun1+4,""))</f>
        <v/>
      </c>
      <c r="O50" s="46" t="str">
        <f>IF(DAY(DecSun1)=1,"",IF(AND(YEAR(DecSun1+5)=AñoCalendario,MONTH(DecSun1+5)=12),DecSun1+5,""))</f>
        <v/>
      </c>
      <c r="P50" s="46" t="str">
        <f>IF(DAY(DecSun1)=1,"",IF(AND(YEAR(DecSun1+6)=AñoCalendario,MONTH(DecSun1+6)=12),DecSun1+6,""))</f>
        <v/>
      </c>
      <c r="Q50" s="15">
        <f>IF(DAY(DecSun1)=1,IF(AND(YEAR(DecSun1)=AñoCalendario,MONTH(DecSun1)=12),DecSun1,""),IF(AND(YEAR(DecSun1+7)=AñoCalendario,MONTH(DecSun1+7)=12),DecSun1+7,""))</f>
        <v>45627</v>
      </c>
      <c r="S50" s="39"/>
      <c r="V50" s="59"/>
      <c r="W50" s="29"/>
    </row>
    <row r="51" spans="1:23" ht="15" customHeight="1" x14ac:dyDescent="0.25">
      <c r="A51" s="6" t="s">
        <v>108</v>
      </c>
      <c r="B51" s="10"/>
      <c r="C51" s="16">
        <f>IF(DAY(NovSun1)=1,IF(AND(YEAR(NovSun1+1)=AñoCalendario,MONTH(NovSun1+1)=11),NovSun1+1,""),IF(AND(YEAR(NovSun1+8)=AñoCalendario,MONTH(NovSun1+8)=11),NovSun1+8,""))</f>
        <v>45600</v>
      </c>
      <c r="D51" s="46">
        <f>IF(DAY(NovSun1)=1,IF(AND(YEAR(NovSun1+2)=AñoCalendario,MONTH(NovSun1+2)=11),NovSun1+2,""),IF(AND(YEAR(NovSun1+9)=AñoCalendario,MONTH(NovSun1+9)=11),NovSun1+9,""))</f>
        <v>45601</v>
      </c>
      <c r="E51" s="46">
        <f>IF(DAY(NovSun1)=1,IF(AND(YEAR(NovSun1+3)=AñoCalendario,MONTH(NovSun1+3)=11),NovSun1+3,""),IF(AND(YEAR(NovSun1+10)=AñoCalendario,MONTH(NovSun1+10)=11),NovSun1+10,""))</f>
        <v>45602</v>
      </c>
      <c r="F51" s="46">
        <f>IF(DAY(NovSun1)=1,IF(AND(YEAR(NovSun1+4)=AñoCalendario,MONTH(NovSun1+4)=11),NovSun1+4,""),IF(AND(YEAR(NovSun1+11)=AñoCalendario,MONTH(NovSun1+11)=11),NovSun1+11,""))</f>
        <v>45603</v>
      </c>
      <c r="G51" s="46">
        <f>IF(DAY(NovSun1)=1,IF(AND(YEAR(NovSun1+5)=AñoCalendario,MONTH(NovSun1+5)=11),NovSun1+5,""),IF(AND(YEAR(NovSun1+12)=AñoCalendario,MONTH(NovSun1+12)=11),NovSun1+12,""))</f>
        <v>45604</v>
      </c>
      <c r="H51" s="46">
        <f>IF(DAY(NovSun1)=1,IF(AND(YEAR(NovSun1+6)=AñoCalendario,MONTH(NovSun1+6)=11),NovSun1+6,""),IF(AND(YEAR(NovSun1+13)=AñoCalendario,MONTH(NovSun1+13)=11),NovSun1+13,""))</f>
        <v>45605</v>
      </c>
      <c r="I51" s="15">
        <f>IF(DAY(NovSun1)=1,IF(AND(YEAR(NovSun1+7)=AñoCalendario,MONTH(NovSun1+7)=11),NovSun1+7,""),IF(AND(YEAR(NovSun1+14)=AñoCalendario,MONTH(NovSun1+14)=11),NovSun1+14,""))</f>
        <v>45606</v>
      </c>
      <c r="J51" s="40"/>
      <c r="K51" s="14">
        <f>IF(DAY(DecSun1)=1,IF(AND(YEAR(DecSun1+1)=AñoCalendario,MONTH(DecSun1+1)=12),DecSun1+1,""),IF(AND(YEAR(DecSun1+8)=AñoCalendario,MONTH(DecSun1+8)=12),DecSun1+8,""))</f>
        <v>45628</v>
      </c>
      <c r="L51" s="46">
        <f>IF(DAY(DecSun1)=1,IF(AND(YEAR(DecSun1+2)=AñoCalendario,MONTH(DecSun1+2)=12),DecSun1+2,""),IF(AND(YEAR(DecSun1+9)=AñoCalendario,MONTH(DecSun1+9)=12),DecSun1+9,""))</f>
        <v>45629</v>
      </c>
      <c r="M51" s="46">
        <f>IF(DAY(DecSun1)=1,IF(AND(YEAR(DecSun1+3)=AñoCalendario,MONTH(DecSun1+3)=12),DecSun1+3,""),IF(AND(YEAR(DecSun1+10)=AñoCalendario,MONTH(DecSun1+10)=12),DecSun1+10,""))</f>
        <v>45630</v>
      </c>
      <c r="N51" s="46">
        <f>IF(DAY(DecSun1)=1,IF(AND(YEAR(DecSun1+4)=AñoCalendario,MONTH(DecSun1+4)=12),DecSun1+4,""),IF(AND(YEAR(DecSun1+11)=AñoCalendario,MONTH(DecSun1+11)=12),DecSun1+11,""))</f>
        <v>45631</v>
      </c>
      <c r="O51" s="47">
        <f>IF(DAY(DecSun1)=1,IF(AND(YEAR(DecSun1+5)=AñoCalendario,MONTH(DecSun1+5)=12),DecSun1+5,""),IF(AND(YEAR(DecSun1+12)=AñoCalendario,MONTH(DecSun1+12)=12),DecSun1+12,""))</f>
        <v>45632</v>
      </c>
      <c r="P51" s="46">
        <f>IF(DAY(DecSun1)=1,IF(AND(YEAR(DecSun1+6)=AñoCalendario,MONTH(DecSun1+6)=12),DecSun1+6,""),IF(AND(YEAR(DecSun1+13)=AñoCalendario,MONTH(DecSun1+13)=12),DecSun1+13,""))</f>
        <v>45633</v>
      </c>
      <c r="Q51" s="15">
        <f>IF(DAY(DecSun1)=1,IF(AND(YEAR(DecSun1+7)=AñoCalendario,MONTH(DecSun1+7)=12),DecSun1+7,""),IF(AND(YEAR(DecSun1+14)=AñoCalendario,MONTH(DecSun1+14)=12),DecSun1+14,""))</f>
        <v>45634</v>
      </c>
      <c r="S51" s="39"/>
      <c r="V51" s="59"/>
      <c r="W51" s="17"/>
    </row>
    <row r="52" spans="1:23" ht="15" customHeight="1" x14ac:dyDescent="0.25">
      <c r="B52" s="10"/>
      <c r="C52" s="14">
        <f>IF(DAY(NovSun1)=1,IF(AND(YEAR(NovSun1+8)=AñoCalendario,MONTH(NovSun1+8)=11),NovSun1+8,""),IF(AND(YEAR(NovSun1+15)=AñoCalendario,MONTH(NovSun1+15)=11),NovSun1+15,""))</f>
        <v>45607</v>
      </c>
      <c r="D52" s="46">
        <f>IF(DAY(NovSun1)=1,IF(AND(YEAR(NovSun1+9)=AñoCalendario,MONTH(NovSun1+9)=11),NovSun1+9,""),IF(AND(YEAR(NovSun1+16)=AñoCalendario,MONTH(NovSun1+16)=11),NovSun1+16,""))</f>
        <v>45608</v>
      </c>
      <c r="E52" s="46">
        <f>IF(DAY(NovSun1)=1,IF(AND(YEAR(NovSun1+10)=AñoCalendario,MONTH(NovSun1+10)=11),NovSun1+10,""),IF(AND(YEAR(NovSun1+17)=AñoCalendario,MONTH(NovSun1+17)=11),NovSun1+17,""))</f>
        <v>45609</v>
      </c>
      <c r="F52" s="46">
        <f>IF(DAY(NovSun1)=1,IF(AND(YEAR(NovSun1+11)=AñoCalendario,MONTH(NovSun1+11)=11),NovSun1+11,""),IF(AND(YEAR(NovSun1+18)=AñoCalendario,MONTH(NovSun1+18)=11),NovSun1+18,""))</f>
        <v>45610</v>
      </c>
      <c r="G52" s="49">
        <f>IF(DAY(NovSun1)=1,IF(AND(YEAR(NovSun1+12)=AñoCalendario,MONTH(NovSun1+12)=11),NovSun1+12,""),IF(AND(YEAR(NovSun1+19)=AñoCalendario,MONTH(NovSun1+19)=11),NovSun1+19,""))</f>
        <v>45611</v>
      </c>
      <c r="H52" s="46">
        <f>IF(DAY(NovSun1)=1,IF(AND(YEAR(NovSun1+13)=AñoCalendario,MONTH(NovSun1+13)=11),NovSun1+13,""),IF(AND(YEAR(NovSun1+20)=AñoCalendario,MONTH(NovSun1+20)=11),NovSun1+20,""))</f>
        <v>45612</v>
      </c>
      <c r="I52" s="15">
        <f>IF(DAY(NovSun1)=1,IF(AND(YEAR(NovSun1+14)=AñoCalendario,MONTH(NovSun1+14)=11),NovSun1+14,""),IF(AND(YEAR(NovSun1+21)=AñoCalendario,MONTH(NovSun1+21)=11),NovSun1+21,""))</f>
        <v>45613</v>
      </c>
      <c r="J52" s="40"/>
      <c r="K52" s="16">
        <f>IF(DAY(DecSun1)=1,IF(AND(YEAR(DecSun1+8)=AñoCalendario,MONTH(DecSun1+8)=12),DecSun1+8,""),IF(AND(YEAR(DecSun1+15)=AñoCalendario,MONTH(DecSun1+15)=12),DecSun1+15,""))</f>
        <v>45635</v>
      </c>
      <c r="L52" s="46">
        <f>IF(DAY(DecSun1)=1,IF(AND(YEAR(DecSun1+9)=AñoCalendario,MONTH(DecSun1+9)=12),DecSun1+9,""),IF(AND(YEAR(DecSun1+16)=AñoCalendario,MONTH(DecSun1+16)=12),DecSun1+16,""))</f>
        <v>45636</v>
      </c>
      <c r="M52" s="46">
        <f>IF(DAY(DecSun1)=1,IF(AND(YEAR(DecSun1+10)=AñoCalendario,MONTH(DecSun1+10)=12),DecSun1+10,""),IF(AND(YEAR(DecSun1+17)=AñoCalendario,MONTH(DecSun1+17)=12),DecSun1+17,""))</f>
        <v>45637</v>
      </c>
      <c r="N52" s="46">
        <f>IF(DAY(DecSun1)=1,IF(AND(YEAR(DecSun1+11)=AñoCalendario,MONTH(DecSun1+11)=12),DecSun1+11,""),IF(AND(YEAR(DecSun1+18)=AñoCalendario,MONTH(DecSun1+18)=12),DecSun1+18,""))</f>
        <v>45638</v>
      </c>
      <c r="O52" s="46">
        <f>IF(DAY(DecSun1)=1,IF(AND(YEAR(DecSun1+12)=AñoCalendario,MONTH(DecSun1+12)=12),DecSun1+12,""),IF(AND(YEAR(DecSun1+19)=AñoCalendario,MONTH(DecSun1+19)=12),DecSun1+19,""))</f>
        <v>45639</v>
      </c>
      <c r="P52" s="46">
        <f>IF(DAY(DecSun1)=1,IF(AND(YEAR(DecSun1+13)=AñoCalendario,MONTH(DecSun1+13)=12),DecSun1+13,""),IF(AND(YEAR(DecSun1+20)=AñoCalendario,MONTH(DecSun1+20)=12),DecSun1+20,""))</f>
        <v>45640</v>
      </c>
      <c r="Q52" s="15">
        <f>IF(DAY(DecSun1)=1,IF(AND(YEAR(DecSun1+14)=AñoCalendario,MONTH(DecSun1+14)=12),DecSun1+14,""),IF(AND(YEAR(DecSun1+21)=AñoCalendario,MONTH(DecSun1+21)=12),DecSun1+21,""))</f>
        <v>45641</v>
      </c>
      <c r="S52" s="39"/>
      <c r="V52" s="60"/>
      <c r="W52" s="17"/>
    </row>
    <row r="53" spans="1:23" ht="15" customHeight="1" x14ac:dyDescent="0.25">
      <c r="B53" s="10"/>
      <c r="C53" s="16">
        <f>IF(DAY(NovSun1)=1,IF(AND(YEAR(NovSun1+15)=AñoCalendario,MONTH(NovSun1+15)=11),NovSun1+15,""),IF(AND(YEAR(NovSun1+22)=AñoCalendario,MONTH(NovSun1+22)=11),NovSun1+22,""))</f>
        <v>45614</v>
      </c>
      <c r="D53" s="46">
        <f>IF(DAY(NovSun1)=1,IF(AND(YEAR(NovSun1+16)=AñoCalendario,MONTH(NovSun1+16)=11),NovSun1+16,""),IF(AND(YEAR(NovSun1+23)=AñoCalendario,MONTH(NovSun1+23)=11),NovSun1+23,""))</f>
        <v>45615</v>
      </c>
      <c r="E53" s="46">
        <f>IF(DAY(NovSun1)=1,IF(AND(YEAR(NovSun1+17)=AñoCalendario,MONTH(NovSun1+17)=11),NovSun1+17,""),IF(AND(YEAR(NovSun1+24)=AñoCalendario,MONTH(NovSun1+24)=11),NovSun1+24,""))</f>
        <v>45616</v>
      </c>
      <c r="F53" s="46">
        <f>IF(DAY(NovSun1)=1,IF(AND(YEAR(NovSun1+18)=AñoCalendario,MONTH(NovSun1+18)=11),NovSun1+18,""),IF(AND(YEAR(NovSun1+25)=AñoCalendario,MONTH(NovSun1+25)=11),NovSun1+25,""))</f>
        <v>45617</v>
      </c>
      <c r="G53" s="46">
        <f>IF(DAY(NovSun1)=1,IF(AND(YEAR(NovSun1+19)=AñoCalendario,MONTH(NovSun1+19)=11),NovSun1+19,""),IF(AND(YEAR(NovSun1+26)=AñoCalendario,MONTH(NovSun1+26)=11),NovSun1+26,""))</f>
        <v>45618</v>
      </c>
      <c r="H53" s="46">
        <f>IF(DAY(NovSun1)=1,IF(AND(YEAR(NovSun1+20)=AñoCalendario,MONTH(NovSun1+20)=11),NovSun1+20,""),IF(AND(YEAR(NovSun1+27)=AñoCalendario,MONTH(NovSun1+27)=11),NovSun1+27,""))</f>
        <v>45619</v>
      </c>
      <c r="I53" s="15">
        <f>IF(DAY(NovSun1)=1,IF(AND(YEAR(NovSun1+21)=AñoCalendario,MONTH(NovSun1+21)=11),NovSun1+21,""),IF(AND(YEAR(NovSun1+28)=AñoCalendario,MONTH(NovSun1+28)=11),NovSun1+28,""))</f>
        <v>45620</v>
      </c>
      <c r="J53" s="40"/>
      <c r="K53" s="14">
        <f>IF(DAY(DecSun1)=1,IF(AND(YEAR(DecSun1+15)=AñoCalendario,MONTH(DecSun1+15)=12),DecSun1+15,""),IF(AND(YEAR(DecSun1+22)=AñoCalendario,MONTH(DecSun1+22)=12),DecSun1+22,""))</f>
        <v>45642</v>
      </c>
      <c r="L53" s="46">
        <f>IF(DAY(DecSun1)=1,IF(AND(YEAR(DecSun1+16)=AñoCalendario,MONTH(DecSun1+16)=12),DecSun1+16,""),IF(AND(YEAR(DecSun1+23)=AñoCalendario,MONTH(DecSun1+23)=12),DecSun1+23,""))</f>
        <v>45643</v>
      </c>
      <c r="M53" s="46">
        <f>IF(DAY(DecSun1)=1,IF(AND(YEAR(DecSun1+17)=AñoCalendario,MONTH(DecSun1+17)=12),DecSun1+17,""),IF(AND(YEAR(DecSun1+24)=AñoCalendario,MONTH(DecSun1+24)=12),DecSun1+24,""))</f>
        <v>45644</v>
      </c>
      <c r="N53" s="46">
        <f>IF(DAY(DecSun1)=1,IF(AND(YEAR(DecSun1+18)=AñoCalendario,MONTH(DecSun1+18)=12),DecSun1+18,""),IF(AND(YEAR(DecSun1+25)=AñoCalendario,MONTH(DecSun1+25)=12),DecSun1+25,""))</f>
        <v>45645</v>
      </c>
      <c r="O53" s="49">
        <f>IF(DAY(DecSun1)=1,IF(AND(YEAR(DecSun1+19)=AñoCalendario,MONTH(DecSun1+19)=12),DecSun1+19,""),IF(AND(YEAR(DecSun1+26)=AñoCalendario,MONTH(DecSun1+26)=12),DecSun1+26,""))</f>
        <v>45646</v>
      </c>
      <c r="P53" s="46">
        <f>IF(DAY(DecSun1)=1,IF(AND(YEAR(DecSun1+20)=AñoCalendario,MONTH(DecSun1+20)=12),DecSun1+20,""),IF(AND(YEAR(DecSun1+27)=AñoCalendario,MONTH(DecSun1+27)=12),DecSun1+27,""))</f>
        <v>45647</v>
      </c>
      <c r="Q53" s="15">
        <f>IF(DAY(DecSun1)=1,IF(AND(YEAR(DecSun1+21)=AñoCalendario,MONTH(DecSun1+21)=12),DecSun1+21,""),IF(AND(YEAR(DecSun1+28)=AñoCalendario,MONTH(DecSun1+28)=12),DecSun1+28,""))</f>
        <v>45648</v>
      </c>
      <c r="S53" s="39"/>
      <c r="V53" s="61" t="s">
        <v>109</v>
      </c>
      <c r="W53" s="17"/>
    </row>
    <row r="54" spans="1:23" ht="15" customHeight="1" x14ac:dyDescent="0.25">
      <c r="B54" s="10"/>
      <c r="C54" s="14">
        <f>IF(DAY(NovSun1)=1,IF(AND(YEAR(NovSun1+22)=AñoCalendario,MONTH(NovSun1+22)=11),NovSun1+22,""),IF(AND(YEAR(NovSun1+29)=AñoCalendario,MONTH(NovSun1+29)=11),NovSun1+29,""))</f>
        <v>45621</v>
      </c>
      <c r="D54" s="46">
        <f>IF(DAY(NovSun1)=1,IF(AND(YEAR(NovSun1+23)=AñoCalendario,MONTH(NovSun1+23)=11),NovSun1+23,""),IF(AND(YEAR(NovSun1+30)=AñoCalendario,MONTH(NovSun1+30)=11),NovSun1+30,""))</f>
        <v>45622</v>
      </c>
      <c r="E54" s="46">
        <f>IF(DAY(NovSun1)=1,IF(AND(YEAR(NovSun1+24)=AñoCalendario,MONTH(NovSun1+24)=11),NovSun1+24,""),IF(AND(YEAR(NovSun1+31)=AñoCalendario,MONTH(NovSun1+31)=11),NovSun1+31,""))</f>
        <v>45623</v>
      </c>
      <c r="F54" s="46">
        <f>IF(DAY(NovSun1)=1,IF(AND(YEAR(NovSun1+25)=AñoCalendario,MONTH(NovSun1+25)=11),NovSun1+25,""),IF(AND(YEAR(NovSun1+32)=AñoCalendario,MONTH(NovSun1+32)=11),NovSun1+32,""))</f>
        <v>45624</v>
      </c>
      <c r="G54" s="46">
        <f>IF(DAY(NovSun1)=1,IF(AND(YEAR(NovSun1+26)=AñoCalendario,MONTH(NovSun1+26)=11),NovSun1+26,""),IF(AND(YEAR(NovSun1+33)=AñoCalendario,MONTH(NovSun1+33)=11),NovSun1+33,""))</f>
        <v>45625</v>
      </c>
      <c r="H54" s="46">
        <f>IF(DAY(NovSun1)=1,IF(AND(YEAR(NovSun1+27)=AñoCalendario,MONTH(NovSun1+27)=11),NovSun1+27,""),IF(AND(YEAR(NovSun1+34)=AñoCalendario,MONTH(NovSun1+34)=11),NovSun1+34,""))</f>
        <v>45626</v>
      </c>
      <c r="I54" s="15" t="str">
        <f>IF(DAY(NovSun1)=1,IF(AND(YEAR(NovSun1+28)=AñoCalendario,MONTH(NovSun1+28)=11),NovSun1+28,""),IF(AND(YEAR(NovSun1+35)=AñoCalendario,MONTH(NovSun1+35)=11),NovSun1+35,""))</f>
        <v/>
      </c>
      <c r="J54" s="40"/>
      <c r="K54" s="16">
        <f>IF(DAY(DecSun1)=1,IF(AND(YEAR(DecSun1+22)=AñoCalendario,MONTH(DecSun1+22)=12),DecSun1+22,""),IF(AND(YEAR(DecSun1+29)=AñoCalendario,MONTH(DecSun1+29)=12),DecSun1+29,""))</f>
        <v>45649</v>
      </c>
      <c r="L54" s="46">
        <f>IF(DAY(DecSun1)=1,IF(AND(YEAR(DecSun1+23)=AñoCalendario,MONTH(DecSun1+23)=12),DecSun1+23,""),IF(AND(YEAR(DecSun1+30)=AñoCalendario,MONTH(DecSun1+30)=12),DecSun1+30,""))</f>
        <v>45650</v>
      </c>
      <c r="M54" s="46">
        <f>IF(DAY(DecSun1)=1,IF(AND(YEAR(DecSun1+24)=AñoCalendario,MONTH(DecSun1+24)=12),DecSun1+24,""),IF(AND(YEAR(DecSun1+31)=AñoCalendario,MONTH(DecSun1+31)=12),DecSun1+31,""))</f>
        <v>45651</v>
      </c>
      <c r="N54" s="46">
        <f>IF(DAY(DecSun1)=1,IF(AND(YEAR(DecSun1+25)=AñoCalendario,MONTH(DecSun1+25)=12),DecSun1+25,""),IF(AND(YEAR(DecSun1+32)=AñoCalendario,MONTH(DecSun1+32)=12),DecSun1+32,""))</f>
        <v>45652</v>
      </c>
      <c r="O54" s="46">
        <f>IF(DAY(DecSun1)=1,IF(AND(YEAR(DecSun1+26)=AñoCalendario,MONTH(DecSun1+26)=12),DecSun1+26,""),IF(AND(YEAR(DecSun1+33)=AñoCalendario,MONTH(DecSun1+33)=12),DecSun1+33,""))</f>
        <v>45653</v>
      </c>
      <c r="P54" s="46">
        <f>IF(DAY(DecSun1)=1,IF(AND(YEAR(DecSun1+27)=AñoCalendario,MONTH(DecSun1+27)=12),DecSun1+27,""),IF(AND(YEAR(DecSun1+34)=AñoCalendario,MONTH(DecSun1+34)=12),DecSun1+34,""))</f>
        <v>45654</v>
      </c>
      <c r="Q54" s="15">
        <f>IF(DAY(DecSun1)=1,IF(AND(YEAR(DecSun1+28)=AñoCalendario,MONTH(DecSun1+28)=12),DecSun1+28,""),IF(AND(YEAR(DecSun1+35)=AñoCalendario,MONTH(DecSun1+35)=12),DecSun1+35,""))</f>
        <v>45655</v>
      </c>
      <c r="S54" s="39"/>
      <c r="V54" s="61"/>
      <c r="W54" s="17"/>
    </row>
    <row r="55" spans="1:23" ht="15" customHeight="1" x14ac:dyDescent="0.25">
      <c r="B55" s="30"/>
      <c r="C55" s="31" t="str">
        <f>IF(DAY(NovSun1)=1,IF(AND(YEAR(NovSun1+29)=AñoCalendario,MONTH(NovSun1+29)=11),NovSun1+29,""),IF(AND(YEAR(NovSun1+36)=AñoCalendario,MONTH(NovSun1+36)=11),NovSun1+36,""))</f>
        <v/>
      </c>
      <c r="D55" s="32" t="str">
        <f>IF(DAY(NovSun1)=1,IF(AND(YEAR(NovSun1+30)=AñoCalendario,MONTH(NovSun1+30)=11),NovSun1+30,""),IF(AND(YEAR(NovSun1+37)=AñoCalendario,MONTH(NovSun1+37)=11),NovSun1+37,""))</f>
        <v/>
      </c>
      <c r="E55" s="32" t="str">
        <f>IF(DAY(NovSun1)=1,IF(AND(YEAR(NovSun1+31)=AñoCalendario,MONTH(NovSun1+31)=11),NovSun1+31,""),IF(AND(YEAR(NovSun1+38)=AñoCalendario,MONTH(NovSun1+38)=11),NovSun1+38,""))</f>
        <v/>
      </c>
      <c r="F55" s="32" t="str">
        <f>IF(DAY(NovSun1)=1,IF(AND(YEAR(NovSun1+32)=AñoCalendario,MONTH(NovSun1+32)=11),NovSun1+32,""),IF(AND(YEAR(NovSun1+39)=AñoCalendario,MONTH(NovSun1+39)=11),NovSun1+39,""))</f>
        <v/>
      </c>
      <c r="G55" s="32" t="str">
        <f>IF(DAY(NovSun1)=1,IF(AND(YEAR(NovSun1+33)=AñoCalendario,MONTH(NovSun1+33)=11),NovSun1+33,""),IF(AND(YEAR(NovSun1+40)=AñoCalendario,MONTH(NovSun1+40)=11),NovSun1+40,""))</f>
        <v/>
      </c>
      <c r="H55" s="32" t="str">
        <f>IF(DAY(NovSun1)=1,IF(AND(YEAR(NovSun1+34)=AñoCalendario,MONTH(NovSun1+34)=11),NovSun1+34,""),IF(AND(YEAR(NovSun1+41)=AñoCalendario,MONTH(NovSun1+41)=11),NovSun1+41,""))</f>
        <v/>
      </c>
      <c r="I55" s="33" t="str">
        <f>IF(DAY(NovSun1)=1,IF(AND(YEAR(NovSun1+35)=AñoCalendario,MONTH(NovSun1+35)=11),NovSun1+35,""),IF(AND(YEAR(NovSun1+42)=AñoCalendario,MONTH(NovSun1+42)=11),NovSun1+42,""))</f>
        <v/>
      </c>
      <c r="J55" s="34"/>
      <c r="K55" s="31">
        <f>IF(DAY(DecSun1)=1,IF(AND(YEAR(DecSun1+29)=AñoCalendario,MONTH(DecSun1+29)=12),DecSun1+29,""),IF(AND(YEAR(DecSun1+36)=AñoCalendario,MONTH(DecSun1+36)=12),DecSun1+36,""))</f>
        <v>45656</v>
      </c>
      <c r="L55" s="32">
        <f>IF(DAY(DecSun1)=1,IF(AND(YEAR(DecSun1+30)=AñoCalendario,MONTH(DecSun1+30)=12),DecSun1+30,""),IF(AND(YEAR(DecSun1+37)=AñoCalendario,MONTH(DecSun1+37)=12),DecSun1+37,""))</f>
        <v>45657</v>
      </c>
      <c r="M55" s="32" t="str">
        <f>IF(DAY(DecSun1)=1,IF(AND(YEAR(DecSun1+31)=AñoCalendario,MONTH(DecSun1+31)=12),DecSun1+31,""),IF(AND(YEAR(DecSun1+38)=AñoCalendario,MONTH(DecSun1+38)=12),DecSun1+38,""))</f>
        <v/>
      </c>
      <c r="N55" s="32" t="str">
        <f>IF(DAY(DecSun1)=1,IF(AND(YEAR(DecSun1+32)=AñoCalendario,MONTH(DecSun1+32)=12),DecSun1+32,""),IF(AND(YEAR(DecSun1+39)=AñoCalendario,MONTH(DecSun1+39)=12),DecSun1+39,""))</f>
        <v/>
      </c>
      <c r="O55" s="32" t="str">
        <f>IF(DAY(DecSun1)=1,IF(AND(YEAR(DecSun1+33)=AñoCalendario,MONTH(DecSun1+33)=12),DecSun1+33,""),IF(AND(YEAR(DecSun1+40)=AñoCalendario,MONTH(DecSun1+40)=12),DecSun1+40,""))</f>
        <v/>
      </c>
      <c r="P55" s="32" t="str">
        <f>IF(DAY(DecSun1)=1,IF(AND(YEAR(DecSun1+34)=AñoCalendario,MONTH(DecSun1+34)=12),DecSun1+34,""),IF(AND(YEAR(DecSun1+41)=AñoCalendario,MONTH(DecSun1+41)=12),DecSun1+41,""))</f>
        <v/>
      </c>
      <c r="Q55" s="33" t="str">
        <f>IF(DAY(DecSun1)=1,IF(AND(YEAR(DecSun1+35)=AñoCalendario,MONTH(DecSun1+35)=12),DecSun1+35,""),IF(AND(YEAR(DecSun1+42)=AñoCalendario,MONTH(DecSun1+42)=12),DecSun1+42,""))</f>
        <v/>
      </c>
      <c r="R55" s="35"/>
      <c r="S55" s="36"/>
      <c r="T55" s="35"/>
      <c r="U55" s="86" t="s">
        <v>110</v>
      </c>
      <c r="V55" s="86"/>
      <c r="W55" s="87"/>
    </row>
    <row r="56" spans="1:23" ht="15" customHeight="1" x14ac:dyDescent="0.2">
      <c r="V56" s="37"/>
    </row>
    <row r="57" spans="1:23" ht="15" customHeight="1" x14ac:dyDescent="0.2">
      <c r="V57" s="37"/>
    </row>
    <row r="58" spans="1:23" ht="15" customHeight="1" x14ac:dyDescent="0.2"/>
    <row r="59" spans="1:23" ht="15" customHeight="1" x14ac:dyDescent="0.2"/>
    <row r="60" spans="1:23" ht="15" customHeight="1" x14ac:dyDescent="0.2"/>
    <row r="61" spans="1:23" ht="15" customHeight="1" x14ac:dyDescent="0.2"/>
    <row r="62" spans="1:23" ht="15" customHeight="1" x14ac:dyDescent="0.2"/>
    <row r="63" spans="1:23" ht="15" customHeight="1" x14ac:dyDescent="0.2"/>
    <row r="64" spans="1:23" ht="15" customHeight="1" x14ac:dyDescent="0.2"/>
    <row r="65" ht="15" customHeight="1" x14ac:dyDescent="0.2"/>
    <row r="66" ht="15" customHeight="1" x14ac:dyDescent="0.2"/>
    <row r="67" ht="15" customHeight="1" x14ac:dyDescent="0.2"/>
  </sheetData>
  <mergeCells count="29">
    <mergeCell ref="U7:W8"/>
    <mergeCell ref="C1:F1"/>
    <mergeCell ref="G1:Q1"/>
    <mergeCell ref="T1:W1"/>
    <mergeCell ref="C3:I3"/>
    <mergeCell ref="K3:Q3"/>
    <mergeCell ref="C12:I12"/>
    <mergeCell ref="K12:Q12"/>
    <mergeCell ref="U16:U24"/>
    <mergeCell ref="V16:V19"/>
    <mergeCell ref="W16:W19"/>
    <mergeCell ref="V20:V21"/>
    <mergeCell ref="W20:W21"/>
    <mergeCell ref="C21:I21"/>
    <mergeCell ref="K21:Q21"/>
    <mergeCell ref="V22:V24"/>
    <mergeCell ref="W22:W24"/>
    <mergeCell ref="U28:U37"/>
    <mergeCell ref="V28:V29"/>
    <mergeCell ref="W28:W29"/>
    <mergeCell ref="C30:I30"/>
    <mergeCell ref="K30:Q30"/>
    <mergeCell ref="V30:V37"/>
    <mergeCell ref="W32:W34"/>
    <mergeCell ref="C39:I39"/>
    <mergeCell ref="K39:Q39"/>
    <mergeCell ref="C48:I48"/>
    <mergeCell ref="K48:Q48"/>
    <mergeCell ref="U55:W55"/>
  </mergeCells>
  <dataValidations count="1">
    <dataValidation allowBlank="1" showInputMessage="1" showErrorMessage="1" errorTitle="Año no válido" error="Escriba un año entre 1900 y 9999 o use la barra de desplazamiento para buscar un año." sqref="C1"/>
  </dataValidations>
  <printOptions horizontalCentered="1" verticalCentered="1"/>
  <pageMargins left="0.25" right="0.25" top="0.75" bottom="0.75" header="0.3" footer="0.3"/>
  <pageSetup paperSize="9" scale="6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ontrol numérico">
              <controlPr defaultSize="0" print="0" autoPict="0" altText="Use el botón de control numérico para cambiar de año natural o escriba el año en la celda C1">
                <anchor moveWithCells="1">
                  <from>
                    <xdr:col>1</xdr:col>
                    <xdr:colOff>114300</xdr:colOff>
                    <xdr:row>0</xdr:row>
                    <xdr:rowOff>38100</xdr:rowOff>
                  </from>
                  <to>
                    <xdr:col>2</xdr:col>
                    <xdr:colOff>47625</xdr:colOff>
                    <xdr:row>0</xdr:row>
                    <xdr:rowOff>342900</xdr:rowOff>
                  </to>
                </anchor>
              </controlPr>
            </control>
          </mc:Choice>
        </mc:AlternateContent>
      </controls>
    </mc:Choice>
  </mc:AlternateContent>
  <tableParts count="12">
    <tablePart r:id="rId5"/>
    <tablePart r:id="rId6"/>
    <tablePart r:id="rId7"/>
    <tablePart r:id="rId8"/>
    <tablePart r:id="rId9"/>
    <tablePart r:id="rId10"/>
    <tablePart r:id="rId11"/>
    <tablePart r:id="rId12"/>
    <tablePart r:id="rId13"/>
    <tablePart r:id="rId14"/>
    <tablePart r:id="rId15"/>
    <tablePart r:id="rId16"/>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Reporte de Formatos</vt:lpstr>
      <vt:lpstr>Calendario anual 2024</vt:lpstr>
      <vt:lpstr>AñoCalendario</vt:lpstr>
      <vt:lpstr>'Calendario anual 2024'!Área_de_impresión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JGCDMX</cp:lastModifiedBy>
  <dcterms:created xsi:type="dcterms:W3CDTF">2024-01-05T17:53:06Z</dcterms:created>
  <dcterms:modified xsi:type="dcterms:W3CDTF">2024-08-27T23:40:02Z</dcterms:modified>
</cp:coreProperties>
</file>