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1480" yWindow="-120" windowWidth="19440" windowHeight="15600"/>
  </bookViews>
  <sheets>
    <sheet name="Reporte de Formatos" sheetId="1" r:id="rId1"/>
    <sheet name="Calendario anual 2024" sheetId="2" r:id="rId2"/>
  </sheets>
  <definedNames>
    <definedName name="_xlnm._FilterDatabase" localSheetId="0" hidden="1">'Reporte de Formatos'!$A$7:$N$7</definedName>
    <definedName name="AbrDom1">DATE(AñoCalendario,4,1)-WEEKDAY(DATE(AñoCalendario,4,1))+1</definedName>
    <definedName name="AgoDom1">DATE(AñoCalendario,8,1)-WEEKDAY(DATE(AñoCalendario,8,1))+1</definedName>
    <definedName name="AñoCalendario">'Calendario anual 2024'!$C$1</definedName>
    <definedName name="_xlnm.Print_Area" localSheetId="1">'Calendario anual 2024'!$B$1:$W$55</definedName>
    <definedName name="DecSun1">DATE(AñoCalendario,12,1)-WEEKDAY(DATE(AñoCalendario,12,1))+1</definedName>
    <definedName name="FebSun1">DATE(AñoCalendario,2,1)-WEEKDAY(DATE(AñoCalendario,2,1))+1</definedName>
    <definedName name="JanSun1">DATE(AñoCalendario,1,1)-WEEKDAY(DATE(AñoCalendario,1,1))+1</definedName>
    <definedName name="JulSun1">DATE(AñoCalendario,7,1)-WEEKDAY(DATE(AñoCalendario,7,1))+1</definedName>
    <definedName name="JunSun1">DATE(AñoCalendario,6,1)-WEEKDAY(DATE(AñoCalendario,6,1))+1</definedName>
    <definedName name="MarSun1">DATE(AñoCalendario,3,1)-WEEKDAY(DATE(AñoCalendario,3,1))+1</definedName>
    <definedName name="MaySun1">DATE(AñoCalendario,5,1)-WEEKDAY(DATE(AñoCalendario,5,1))+1</definedName>
    <definedName name="NovSun1">DATE(AñoCalendario,11,1)-WEEKDAY(DATE(AñoCalendario,11,1))+1</definedName>
    <definedName name="OctSun1">DATE(AñoCalendario,10,1)-WEEKDAY(DATE(AñoCalendario,10,1))+1</definedName>
    <definedName name="SepDom1">DATE(AñoCalendario,9,1)-WEEKDAY(DATE(AñoCalendario,9,1))+1</definedName>
  </definedNames>
  <calcPr calcId="144525"/>
</workbook>
</file>

<file path=xl/calcChain.xml><?xml version="1.0" encoding="utf-8"?>
<calcChain xmlns="http://schemas.openxmlformats.org/spreadsheetml/2006/main">
  <c r="Q55" i="2" l="1"/>
  <c r="P55" i="2"/>
  <c r="O55" i="2"/>
  <c r="N55" i="2"/>
  <c r="M55" i="2"/>
  <c r="L55" i="2"/>
  <c r="K55" i="2"/>
  <c r="I55" i="2"/>
  <c r="H55" i="2"/>
  <c r="G55" i="2"/>
  <c r="F55" i="2"/>
  <c r="E55" i="2"/>
  <c r="D55" i="2"/>
  <c r="C55" i="2"/>
  <c r="Q54" i="2"/>
  <c r="P54" i="2"/>
  <c r="O54" i="2"/>
  <c r="N54" i="2"/>
  <c r="M54" i="2"/>
  <c r="L54" i="2"/>
  <c r="K54" i="2"/>
  <c r="I54" i="2"/>
  <c r="H54" i="2"/>
  <c r="G54" i="2"/>
  <c r="F54" i="2"/>
  <c r="E54" i="2"/>
  <c r="D54" i="2"/>
  <c r="C54" i="2"/>
  <c r="Q53" i="2"/>
  <c r="P53" i="2"/>
  <c r="O53" i="2"/>
  <c r="N53" i="2"/>
  <c r="M53" i="2"/>
  <c r="L53" i="2"/>
  <c r="K53" i="2"/>
  <c r="I53" i="2"/>
  <c r="H53" i="2"/>
  <c r="G53" i="2"/>
  <c r="F53" i="2"/>
  <c r="E53" i="2"/>
  <c r="D53" i="2"/>
  <c r="C53" i="2"/>
  <c r="Q52" i="2"/>
  <c r="P52" i="2"/>
  <c r="O52" i="2"/>
  <c r="N52" i="2"/>
  <c r="M52" i="2"/>
  <c r="L52" i="2"/>
  <c r="K52" i="2"/>
  <c r="I52" i="2"/>
  <c r="H52" i="2"/>
  <c r="G52" i="2"/>
  <c r="F52" i="2"/>
  <c r="E52" i="2"/>
  <c r="D52" i="2"/>
  <c r="C52" i="2"/>
  <c r="Q51" i="2"/>
  <c r="P51" i="2"/>
  <c r="O51" i="2"/>
  <c r="N51" i="2"/>
  <c r="M51" i="2"/>
  <c r="L51" i="2"/>
  <c r="K51" i="2"/>
  <c r="I51" i="2"/>
  <c r="H51" i="2"/>
  <c r="G51" i="2"/>
  <c r="F51" i="2"/>
  <c r="E51" i="2"/>
  <c r="D51" i="2"/>
  <c r="C51" i="2"/>
  <c r="Q50" i="2"/>
  <c r="P50" i="2"/>
  <c r="O50" i="2"/>
  <c r="N50" i="2"/>
  <c r="M50" i="2"/>
  <c r="L50" i="2"/>
  <c r="K50" i="2"/>
  <c r="I50" i="2"/>
  <c r="H50" i="2"/>
  <c r="G50" i="2"/>
  <c r="F50" i="2"/>
  <c r="E50" i="2"/>
  <c r="D50" i="2"/>
  <c r="C50" i="2"/>
  <c r="Q46" i="2"/>
  <c r="P46" i="2"/>
  <c r="O46" i="2"/>
  <c r="N46" i="2"/>
  <c r="M46" i="2"/>
  <c r="L46" i="2"/>
  <c r="K46" i="2"/>
  <c r="I46" i="2"/>
  <c r="H46" i="2"/>
  <c r="G46" i="2"/>
  <c r="F46" i="2"/>
  <c r="E46" i="2"/>
  <c r="D46" i="2"/>
  <c r="C46" i="2"/>
  <c r="Q45" i="2"/>
  <c r="P45" i="2"/>
  <c r="O45" i="2"/>
  <c r="N45" i="2"/>
  <c r="M45" i="2"/>
  <c r="L45" i="2"/>
  <c r="K45" i="2"/>
  <c r="I45" i="2"/>
  <c r="H45" i="2"/>
  <c r="G45" i="2"/>
  <c r="F45" i="2"/>
  <c r="E45" i="2"/>
  <c r="D45" i="2"/>
  <c r="C45" i="2"/>
  <c r="Q44" i="2"/>
  <c r="P44" i="2"/>
  <c r="O44" i="2"/>
  <c r="N44" i="2"/>
  <c r="M44" i="2"/>
  <c r="L44" i="2"/>
  <c r="K44" i="2"/>
  <c r="I44" i="2"/>
  <c r="H44" i="2"/>
  <c r="G44" i="2"/>
  <c r="F44" i="2"/>
  <c r="E44" i="2"/>
  <c r="D44" i="2"/>
  <c r="C44" i="2"/>
  <c r="Q43" i="2"/>
  <c r="P43" i="2"/>
  <c r="O43" i="2"/>
  <c r="N43" i="2"/>
  <c r="M43" i="2"/>
  <c r="L43" i="2"/>
  <c r="K43" i="2"/>
  <c r="I43" i="2"/>
  <c r="H43" i="2"/>
  <c r="G43" i="2"/>
  <c r="F43" i="2"/>
  <c r="E43" i="2"/>
  <c r="D43" i="2"/>
  <c r="C43" i="2"/>
  <c r="Q42" i="2"/>
  <c r="P42" i="2"/>
  <c r="O42" i="2"/>
  <c r="N42" i="2"/>
  <c r="M42" i="2"/>
  <c r="L42" i="2"/>
  <c r="K42" i="2"/>
  <c r="I42" i="2"/>
  <c r="H42" i="2"/>
  <c r="G42" i="2"/>
  <c r="F42" i="2"/>
  <c r="E42" i="2"/>
  <c r="D42" i="2"/>
  <c r="C42" i="2"/>
  <c r="Q41" i="2"/>
  <c r="P41" i="2"/>
  <c r="O41" i="2"/>
  <c r="N41" i="2"/>
  <c r="M41" i="2"/>
  <c r="L41" i="2"/>
  <c r="K41" i="2"/>
  <c r="I41" i="2"/>
  <c r="H41" i="2"/>
  <c r="G41" i="2"/>
  <c r="F41" i="2"/>
  <c r="E41" i="2"/>
  <c r="D41" i="2"/>
  <c r="C41" i="2"/>
  <c r="Q37" i="2"/>
  <c r="P37" i="2"/>
  <c r="O37" i="2"/>
  <c r="N37" i="2"/>
  <c r="M37" i="2"/>
  <c r="L37" i="2"/>
  <c r="K37" i="2"/>
  <c r="I37" i="2"/>
  <c r="H37" i="2"/>
  <c r="G37" i="2"/>
  <c r="F37" i="2"/>
  <c r="E37" i="2"/>
  <c r="D37" i="2"/>
  <c r="C37" i="2"/>
  <c r="Q36" i="2"/>
  <c r="P36" i="2"/>
  <c r="O36" i="2"/>
  <c r="N36" i="2"/>
  <c r="M36" i="2"/>
  <c r="L36" i="2"/>
  <c r="K36" i="2"/>
  <c r="I36" i="2"/>
  <c r="H36" i="2"/>
  <c r="G36" i="2"/>
  <c r="F36" i="2"/>
  <c r="E36" i="2"/>
  <c r="D36" i="2"/>
  <c r="C36" i="2"/>
  <c r="Q35" i="2"/>
  <c r="P35" i="2"/>
  <c r="O35" i="2"/>
  <c r="N35" i="2"/>
  <c r="M35" i="2"/>
  <c r="L35" i="2"/>
  <c r="K35" i="2"/>
  <c r="I35" i="2"/>
  <c r="H35" i="2"/>
  <c r="G35" i="2"/>
  <c r="F35" i="2"/>
  <c r="E35" i="2"/>
  <c r="D35" i="2"/>
  <c r="C35" i="2"/>
  <c r="Q34" i="2"/>
  <c r="P34" i="2"/>
  <c r="O34" i="2"/>
  <c r="N34" i="2"/>
  <c r="M34" i="2"/>
  <c r="L34" i="2"/>
  <c r="K34" i="2"/>
  <c r="I34" i="2"/>
  <c r="H34" i="2"/>
  <c r="G34" i="2"/>
  <c r="F34" i="2"/>
  <c r="E34" i="2"/>
  <c r="D34" i="2"/>
  <c r="C34" i="2"/>
  <c r="Q33" i="2"/>
  <c r="P33" i="2"/>
  <c r="O33" i="2"/>
  <c r="N33" i="2"/>
  <c r="M33" i="2"/>
  <c r="L33" i="2"/>
  <c r="K33" i="2"/>
  <c r="I33" i="2"/>
  <c r="H33" i="2"/>
  <c r="G33" i="2"/>
  <c r="F33" i="2"/>
  <c r="E33" i="2"/>
  <c r="D33" i="2"/>
  <c r="C33" i="2"/>
  <c r="Q32" i="2"/>
  <c r="P32" i="2"/>
  <c r="O32" i="2"/>
  <c r="N32" i="2"/>
  <c r="M32" i="2"/>
  <c r="L32" i="2"/>
  <c r="K32" i="2"/>
  <c r="I32" i="2"/>
  <c r="H32" i="2"/>
  <c r="G32" i="2"/>
  <c r="F32" i="2"/>
  <c r="E32" i="2"/>
  <c r="D32" i="2"/>
  <c r="C32" i="2"/>
  <c r="Q28" i="2"/>
  <c r="P28" i="2"/>
  <c r="O28" i="2"/>
  <c r="N28" i="2"/>
  <c r="M28" i="2"/>
  <c r="L28" i="2"/>
  <c r="K28" i="2"/>
  <c r="I28" i="2"/>
  <c r="H28" i="2"/>
  <c r="G28" i="2"/>
  <c r="F28" i="2"/>
  <c r="E28" i="2"/>
  <c r="D28" i="2"/>
  <c r="C28" i="2"/>
  <c r="Q27" i="2"/>
  <c r="P27" i="2"/>
  <c r="O27" i="2"/>
  <c r="N27" i="2"/>
  <c r="M27" i="2"/>
  <c r="L27" i="2"/>
  <c r="K27" i="2"/>
  <c r="I27" i="2"/>
  <c r="H27" i="2"/>
  <c r="G27" i="2"/>
  <c r="F27" i="2"/>
  <c r="E27" i="2"/>
  <c r="D27" i="2"/>
  <c r="C27" i="2"/>
  <c r="Q26" i="2"/>
  <c r="P26" i="2"/>
  <c r="O26" i="2"/>
  <c r="N26" i="2"/>
  <c r="M26" i="2"/>
  <c r="L26" i="2"/>
  <c r="K26" i="2"/>
  <c r="I26" i="2"/>
  <c r="H26" i="2"/>
  <c r="G26" i="2"/>
  <c r="F26" i="2"/>
  <c r="E26" i="2"/>
  <c r="D26" i="2"/>
  <c r="C26" i="2"/>
  <c r="Q25" i="2"/>
  <c r="P25" i="2"/>
  <c r="O25" i="2"/>
  <c r="N25" i="2"/>
  <c r="M25" i="2"/>
  <c r="L25" i="2"/>
  <c r="K25" i="2"/>
  <c r="I25" i="2"/>
  <c r="H25" i="2"/>
  <c r="G25" i="2"/>
  <c r="F25" i="2"/>
  <c r="E25" i="2"/>
  <c r="D25" i="2"/>
  <c r="C25" i="2"/>
  <c r="Q24" i="2"/>
  <c r="P24" i="2"/>
  <c r="O24" i="2"/>
  <c r="N24" i="2"/>
  <c r="M24" i="2"/>
  <c r="L24" i="2"/>
  <c r="K24" i="2"/>
  <c r="I24" i="2"/>
  <c r="H24" i="2"/>
  <c r="G24" i="2"/>
  <c r="F24" i="2"/>
  <c r="E24" i="2"/>
  <c r="D24" i="2"/>
  <c r="C24" i="2"/>
  <c r="Q23" i="2"/>
  <c r="P23" i="2"/>
  <c r="O23" i="2"/>
  <c r="N23" i="2"/>
  <c r="M23" i="2"/>
  <c r="L23" i="2"/>
  <c r="K23" i="2"/>
  <c r="I23" i="2"/>
  <c r="H23" i="2"/>
  <c r="G23" i="2"/>
  <c r="F23" i="2"/>
  <c r="E23" i="2"/>
  <c r="D23" i="2"/>
  <c r="C23" i="2"/>
  <c r="Q19" i="2"/>
  <c r="P19" i="2"/>
  <c r="O19" i="2"/>
  <c r="N19" i="2"/>
  <c r="M19" i="2"/>
  <c r="L19" i="2"/>
  <c r="K19" i="2"/>
  <c r="I19" i="2"/>
  <c r="H19" i="2"/>
  <c r="G19" i="2"/>
  <c r="F19" i="2"/>
  <c r="E19" i="2"/>
  <c r="D19" i="2"/>
  <c r="C19" i="2"/>
  <c r="Q18" i="2"/>
  <c r="P18" i="2"/>
  <c r="O18" i="2"/>
  <c r="N18" i="2"/>
  <c r="M18" i="2"/>
  <c r="L18" i="2"/>
  <c r="K18" i="2"/>
  <c r="I18" i="2"/>
  <c r="H18" i="2"/>
  <c r="G18" i="2"/>
  <c r="F18" i="2"/>
  <c r="E18" i="2"/>
  <c r="D18" i="2"/>
  <c r="C18" i="2"/>
  <c r="Q17" i="2"/>
  <c r="P17" i="2"/>
  <c r="O17" i="2"/>
  <c r="N17" i="2"/>
  <c r="M17" i="2"/>
  <c r="L17" i="2"/>
  <c r="K17" i="2"/>
  <c r="I17" i="2"/>
  <c r="H17" i="2"/>
  <c r="G17" i="2"/>
  <c r="F17" i="2"/>
  <c r="E17" i="2"/>
  <c r="D17" i="2"/>
  <c r="C17" i="2"/>
  <c r="Q16" i="2"/>
  <c r="P16" i="2"/>
  <c r="O16" i="2"/>
  <c r="N16" i="2"/>
  <c r="M16" i="2"/>
  <c r="L16" i="2"/>
  <c r="K16" i="2"/>
  <c r="I16" i="2"/>
  <c r="H16" i="2"/>
  <c r="G16" i="2"/>
  <c r="F16" i="2"/>
  <c r="E16" i="2"/>
  <c r="D16" i="2"/>
  <c r="C16" i="2"/>
  <c r="Q15" i="2"/>
  <c r="P15" i="2"/>
  <c r="O15" i="2"/>
  <c r="N15" i="2"/>
  <c r="M15" i="2"/>
  <c r="L15" i="2"/>
  <c r="K15" i="2"/>
  <c r="I15" i="2"/>
  <c r="H15" i="2"/>
  <c r="G15" i="2"/>
  <c r="F15" i="2"/>
  <c r="E15" i="2"/>
  <c r="D15" i="2"/>
  <c r="C15" i="2"/>
  <c r="Q14" i="2"/>
  <c r="P14" i="2"/>
  <c r="O14" i="2"/>
  <c r="N14" i="2"/>
  <c r="M14" i="2"/>
  <c r="L14" i="2"/>
  <c r="K14" i="2"/>
  <c r="I14" i="2"/>
  <c r="H14" i="2"/>
  <c r="G14" i="2"/>
  <c r="F14" i="2"/>
  <c r="E14" i="2"/>
  <c r="D14" i="2"/>
  <c r="C14" i="2"/>
  <c r="Q10" i="2"/>
  <c r="P10" i="2"/>
  <c r="O10" i="2"/>
  <c r="N10" i="2"/>
  <c r="M10" i="2"/>
  <c r="L10" i="2"/>
  <c r="K10" i="2"/>
  <c r="I10" i="2"/>
  <c r="H10" i="2"/>
  <c r="G10" i="2"/>
  <c r="F10" i="2"/>
  <c r="E10" i="2"/>
  <c r="D10" i="2"/>
  <c r="C10" i="2"/>
  <c r="Q9" i="2"/>
  <c r="P9" i="2"/>
  <c r="O9" i="2"/>
  <c r="N9" i="2"/>
  <c r="M9" i="2"/>
  <c r="L9" i="2"/>
  <c r="K9" i="2"/>
  <c r="I9" i="2"/>
  <c r="H9" i="2"/>
  <c r="G9" i="2"/>
  <c r="F9" i="2"/>
  <c r="E9" i="2"/>
  <c r="D9" i="2"/>
  <c r="C9" i="2"/>
  <c r="Q8" i="2"/>
  <c r="P8" i="2"/>
  <c r="O8" i="2"/>
  <c r="N8" i="2"/>
  <c r="M8" i="2"/>
  <c r="L8" i="2"/>
  <c r="K8" i="2"/>
  <c r="I8" i="2"/>
  <c r="H8" i="2"/>
  <c r="G8" i="2"/>
  <c r="F8" i="2"/>
  <c r="E8" i="2"/>
  <c r="D8" i="2"/>
  <c r="C8" i="2"/>
  <c r="Q7" i="2"/>
  <c r="P7" i="2"/>
  <c r="O7" i="2"/>
  <c r="N7" i="2"/>
  <c r="M7" i="2"/>
  <c r="L7" i="2"/>
  <c r="K7" i="2"/>
  <c r="I7" i="2"/>
  <c r="H7" i="2"/>
  <c r="G7" i="2"/>
  <c r="F7" i="2"/>
  <c r="E7" i="2"/>
  <c r="D7" i="2"/>
  <c r="C7" i="2"/>
  <c r="Q6" i="2"/>
  <c r="P6" i="2"/>
  <c r="O6" i="2"/>
  <c r="N6" i="2"/>
  <c r="M6" i="2"/>
  <c r="L6" i="2"/>
  <c r="K6" i="2"/>
  <c r="I6" i="2"/>
  <c r="H6" i="2"/>
  <c r="G6" i="2"/>
  <c r="F6" i="2"/>
  <c r="E6" i="2"/>
  <c r="D6" i="2"/>
  <c r="C6" i="2"/>
  <c r="Q5" i="2"/>
  <c r="P5" i="2"/>
  <c r="O5" i="2"/>
  <c r="N5" i="2"/>
  <c r="M5" i="2"/>
  <c r="L5" i="2"/>
  <c r="K5" i="2"/>
  <c r="I5" i="2"/>
  <c r="H5" i="2"/>
  <c r="G5" i="2"/>
  <c r="F5" i="2"/>
  <c r="E5" i="2"/>
  <c r="D5" i="2"/>
  <c r="C5" i="2"/>
</calcChain>
</file>

<file path=xl/sharedStrings.xml><?xml version="1.0" encoding="utf-8"?>
<sst xmlns="http://schemas.openxmlformats.org/spreadsheetml/2006/main" count="963" uniqueCount="266">
  <si>
    <t>54783</t>
  </si>
  <si>
    <t>TÍTULO</t>
  </si>
  <si>
    <t>NOMBRE CORTO</t>
  </si>
  <si>
    <t>DESCRIPCIÓN</t>
  </si>
  <si>
    <t>Calendario Actualización</t>
  </si>
  <si>
    <t>A146_Calendario-Actualización</t>
  </si>
  <si>
    <t>Calendario de Actualización de la información de oficio publicada en el portal de Internet</t>
  </si>
  <si>
    <t>1</t>
  </si>
  <si>
    <t>3</t>
  </si>
  <si>
    <t>2</t>
  </si>
  <si>
    <t>4</t>
  </si>
  <si>
    <t>13</t>
  </si>
  <si>
    <t>14</t>
  </si>
  <si>
    <t>535445</t>
  </si>
  <si>
    <t>535444</t>
  </si>
  <si>
    <t>535451</t>
  </si>
  <si>
    <t>535447</t>
  </si>
  <si>
    <t>535453</t>
  </si>
  <si>
    <t>535448</t>
  </si>
  <si>
    <t>535449</t>
  </si>
  <si>
    <t>535452</t>
  </si>
  <si>
    <t>535446</t>
  </si>
  <si>
    <t>535440</t>
  </si>
  <si>
    <t>535439</t>
  </si>
  <si>
    <t>535450</t>
  </si>
  <si>
    <t>535454</t>
  </si>
  <si>
    <t>535441</t>
  </si>
  <si>
    <t>535443</t>
  </si>
  <si>
    <t>Tabla Campos</t>
  </si>
  <si>
    <t>Calendario de Actualización de las Obligaciones de</t>
  </si>
  <si>
    <t>Ejercicio</t>
  </si>
  <si>
    <t>Número de cada artículo de la LTAIPRC</t>
  </si>
  <si>
    <t>Texto de cada artículo de la LTAIPRC</t>
  </si>
  <si>
    <t>Número de cada una de las fracciones</t>
  </si>
  <si>
    <t>Texto de cada una de las fracciones</t>
  </si>
  <si>
    <t>Aplicabilidad del artículo o fracción</t>
  </si>
  <si>
    <t>Periodo de actualización de cada artículo y/o frac</t>
  </si>
  <si>
    <t>Especificar la referencia normativa</t>
  </si>
  <si>
    <t>Fecha de publicación de la información</t>
  </si>
  <si>
    <t>Áreas o unidades administrativas responsables</t>
  </si>
  <si>
    <t>Área(s) responsable(s) de la información</t>
  </si>
  <si>
    <t>Fecha de validación</t>
  </si>
  <si>
    <t>Fecha de Actualización</t>
  </si>
  <si>
    <t>Nota</t>
  </si>
  <si>
    <t>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</si>
  <si>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LGTAIP, LTAIPCDMX y Lineamientos</t>
  </si>
  <si>
    <t>Cree un calendario para una pequeña empresa para cualquier año en esta hoja de cálculo. Encontrará instrucciones útiles sobre cómo usar esta hoja de cálculo en las celdas de esta columna. Seleccione el control de número en la celda de la derecha para cambiar el año en la celda C1. La etiqueta de fechas importante se encuentra en la celda U1</t>
  </si>
  <si>
    <t>Fechas de actualización</t>
  </si>
  <si>
    <t xml:space="preserve"> Detalle de contenidos a actualizar en el periodo marcado</t>
  </si>
  <si>
    <t>La sugerencia se encuentra en la celda de la derecha</t>
  </si>
  <si>
    <t>Utilice el control de número para cambiar el año del calendario.</t>
  </si>
  <si>
    <t>El calendario del año seleccionado está en las celdas de C3 a Q55, el calendario de enero en las celdas de C4 a I10, y el calendario de febrero en las celdas de K4 a P10. La etiqueta de enero se encuentra en la celda C3 y la de febrero en la celda K3. Escriba las fechas y ocasiones importantes en las celdas de U3 a U42</t>
  </si>
  <si>
    <t>ENERO</t>
  </si>
  <si>
    <t>FEBRERO</t>
  </si>
  <si>
    <t>La tabla de calendario de enero se encuentra en las celdas de C4 a I10, y la tabla de calendario de febrero se encuentra en las celdas de K4 a P10. La instrucción siguiente se encuentra en la celda A12.</t>
  </si>
  <si>
    <t>LUN</t>
  </si>
  <si>
    <t>MAR</t>
  </si>
  <si>
    <t>MIÉ.</t>
  </si>
  <si>
    <t>JUE</t>
  </si>
  <si>
    <t>VIE</t>
  </si>
  <si>
    <t>SÁB</t>
  </si>
  <si>
    <t>DOM</t>
  </si>
  <si>
    <t xml:space="preserve"> Programación de publicaciones en el Portal 2024</t>
  </si>
  <si>
    <t>Actualización Primaria</t>
  </si>
  <si>
    <t>Actualización Secundaria</t>
  </si>
  <si>
    <t>La etiqueta de marzo se encuentra en la celda C12 y la de abril en la celda K12</t>
  </si>
  <si>
    <t>MARZO</t>
  </si>
  <si>
    <t>ABRIL</t>
  </si>
  <si>
    <t>Fecha en visualización a la ciudadanía</t>
  </si>
  <si>
    <t>La tabla de calendario de marzo se encuentra en las celdas de C13 a I19, y la tabla de calendario de abril en las celdas de K13 a Q19. La instrucción siguiente se encuentra en la celda A21</t>
  </si>
  <si>
    <t>MIÉ</t>
  </si>
  <si>
    <t>Actualización</t>
  </si>
  <si>
    <t>Actividades</t>
  </si>
  <si>
    <t>Descripción del contenido a actualizar</t>
  </si>
  <si>
    <t>Primaria</t>
  </si>
  <si>
    <t>Actualización csv estádistica</t>
  </si>
  <si>
    <t>Vivienda unifamiliar y multifamiliar</t>
  </si>
  <si>
    <t>Publicación de nuevas páginas</t>
  </si>
  <si>
    <t>Micrositios nuevos (textos, documentos, hipervinculos, imágenes, etc.)</t>
  </si>
  <si>
    <t>La etiqueta de mayo se encuentra en la celda C21 y la de junio en la celda K21</t>
  </si>
  <si>
    <t>MAYO</t>
  </si>
  <si>
    <t>JUNIO</t>
  </si>
  <si>
    <t>La tabla de calendario de mayo se encuentra en las celdas de C22 a I28 y la tabla de calendario de julio se encuentra en las celdas de K22 a Q28. La instrucción siguiente se encuentra en la celda A30</t>
  </si>
  <si>
    <t>Actualización de nuevo contenido</t>
  </si>
  <si>
    <t>Rezago de información a publicar</t>
  </si>
  <si>
    <t>Secundaria</t>
  </si>
  <si>
    <t>Actualización de gráficas</t>
  </si>
  <si>
    <t>Fideicomiso</t>
  </si>
  <si>
    <t>La etiqueta de julio se encuentra en la celda C30 y la de agosto en la celda K30</t>
  </si>
  <si>
    <t>JULIO</t>
  </si>
  <si>
    <t>AGOSTO</t>
  </si>
  <si>
    <t>Rentas</t>
  </si>
  <si>
    <t>Tabla de calendario de julio se encuentra en las celdas de C31 a I37 y la tabla de calendario de agosto se encuentra en las celdas de K31 a Q37. La instrucción siguiente se encuentra en la celda A39.</t>
  </si>
  <si>
    <t xml:space="preserve">Minutas </t>
  </si>
  <si>
    <t>Marco Normativo (constituciones, leyes y reglamentos e Instrumentos Normativos internos)
Descargas Rápidas 
Convenios</t>
  </si>
  <si>
    <t>Informe de Patrimonio Cultural</t>
  </si>
  <si>
    <t>Estudios de Suelo</t>
  </si>
  <si>
    <t>La etiqueta de septiembre se encuentra en la celda C39 y la de octubre en la celda K39</t>
  </si>
  <si>
    <t>SEPTIEMBRE</t>
  </si>
  <si>
    <t>OCTUBRE</t>
  </si>
  <si>
    <t>La tabla de calendario de septiembre se encuentra en las celdas de C40 a I46 y la de octubre en las celdas de K40 a Q46. La instrucción siguiente se encuentra en la celda A44</t>
  </si>
  <si>
    <t>Escriba la dirección postal en la celda U44.</t>
  </si>
  <si>
    <t>Escriba la ciudad, el estado o la provincia y el código postal en la celda U45. La instrucción siguiente está en la celda A47</t>
  </si>
  <si>
    <t>Escriba el número de teléfono de la empresa en la celda U47</t>
  </si>
  <si>
    <t>La etiqueta de noviembre se encuentra en la celda C48 y la de diciembre en la celda K48. Escriba la dirección de correo electrónico en la celda U48</t>
  </si>
  <si>
    <t>NOVIEMBRE</t>
  </si>
  <si>
    <t>DICIEMBRE</t>
  </si>
  <si>
    <t>La tabla de calendario de noviembre se encuentra en las celdas de C49 a I55 y la de diciembre en las celdas de K49 a Q55. La instrucción siguiente se encuentra en la celda A51.</t>
  </si>
  <si>
    <t>Agregue el logotipo de la empresa en la celda U51.</t>
  </si>
  <si>
    <t>El marcador de posición del logotipo se encuentra en esta celda.</t>
  </si>
  <si>
    <t>Subdirección de Sistema de Datos</t>
  </si>
  <si>
    <t>I</t>
  </si>
  <si>
    <t>II</t>
  </si>
  <si>
    <t>III</t>
  </si>
  <si>
    <t>IV</t>
  </si>
  <si>
    <t>V</t>
  </si>
  <si>
    <t>VI</t>
  </si>
  <si>
    <t>VII</t>
  </si>
  <si>
    <t>VIII</t>
  </si>
  <si>
    <t>IX</t>
  </si>
  <si>
    <t>X</t>
  </si>
  <si>
    <t>XI</t>
  </si>
  <si>
    <t>XII</t>
  </si>
  <si>
    <t>XIII</t>
  </si>
  <si>
    <t>XIV</t>
  </si>
  <si>
    <t>XV</t>
  </si>
  <si>
    <t>XVI</t>
  </si>
  <si>
    <t>XVII</t>
  </si>
  <si>
    <t>XVIII</t>
  </si>
  <si>
    <t>XIX</t>
  </si>
  <si>
    <t>XX</t>
  </si>
  <si>
    <t>XXI</t>
  </si>
  <si>
    <t>XXII</t>
  </si>
  <si>
    <t>XXIII</t>
  </si>
  <si>
    <t>XXIV</t>
  </si>
  <si>
    <t>XXV</t>
  </si>
  <si>
    <t>XXVI</t>
  </si>
  <si>
    <t>XXVII</t>
  </si>
  <si>
    <t>XXVIII</t>
  </si>
  <si>
    <t>XXIX</t>
  </si>
  <si>
    <t>XXX</t>
  </si>
  <si>
    <t>XXXI</t>
  </si>
  <si>
    <t>XXXII</t>
  </si>
  <si>
    <t>XXXIII</t>
  </si>
  <si>
    <t>XXXIV</t>
  </si>
  <si>
    <t>XXXV</t>
  </si>
  <si>
    <t>XXXVI</t>
  </si>
  <si>
    <t>XXXVII</t>
  </si>
  <si>
    <t>XXXVIII</t>
  </si>
  <si>
    <t>XXXIX</t>
  </si>
  <si>
    <t>XL</t>
  </si>
  <si>
    <t>XLI</t>
  </si>
  <si>
    <t>XLII</t>
  </si>
  <si>
    <t>XLIII</t>
  </si>
  <si>
    <t>XLIV</t>
  </si>
  <si>
    <t>XLV</t>
  </si>
  <si>
    <t>XLVI</t>
  </si>
  <si>
    <t>XLVII</t>
  </si>
  <si>
    <t>XLVIII</t>
  </si>
  <si>
    <t>XLIX</t>
  </si>
  <si>
    <t>L</t>
  </si>
  <si>
    <t>LI</t>
  </si>
  <si>
    <t>LII</t>
  </si>
  <si>
    <t>LIII</t>
  </si>
  <si>
    <t>LIV</t>
  </si>
  <si>
    <t>Además de lo señalado en el artículo anterior de la presente Ley, el Poder Ejecutivo de la Ciudad de México deberá mantener actualizada, de forma impresa para consulta directa y en los respectivos sitios de internet, de acuerdo con sus funciones, según corresponda, la información respecto de los temas, documentos y políticas que a continuación se detallan:</t>
  </si>
  <si>
    <t>UNICO</t>
  </si>
  <si>
    <t>Los sujetos obligados deberán dar acceso a la información a que se refiere este capítulo mediante bases de datos que permitan la búsqueda y extracción de información. Ésta además estará en formatos para la fácil comprensión de las personas, procurando que la información se encuentre disponible en lenguas indígenas. Además las páginas contarán con buscadores temáticos y disponer de un respaldo con todos los registros electrónicos para cualquier persona que lo solicite.</t>
  </si>
  <si>
    <t xml:space="preserve"> Los sujetos obligados contarán en la página de inicio de sus portales de Internet con una señalización fácilmente identificable y accesible que cumpla con los requerimientos de sistematización, comprensión y organización de la información a que se refiere este capítulo. El Instituto establecerá criterios que permitan homologar la presentación de la información en los portales de Internet en los que se establecerá plazos, términos, así como los formatos que habrán de utilizarse para la publicidad de la información; asimismo; promoverá la creación de medios electrónicos para incorporar, localizar y facilitar el acceso a la información pública de oficio.</t>
  </si>
  <si>
    <t xml:space="preserve">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 </t>
  </si>
  <si>
    <t>Cada Área del sujeto obligado elaborará un índice de la información que
previamente haya sido clasificada como reservada, por Área responsable de la información y tema.                                                                                                                                                                                          El índice deberá elaborarse semestralmente y publicarse en formatos abiertos al día siguiente de su elaboración. Dicho índice deberá  indicar el Área que generó la información, las características de la información, si se trata de una reserva completa o parcial, la fecha en que inicia y finaliza la reserva, su justificación, el plazo de reserva y, en su caso, las partes que se reservan y si se encuentra en prórroga. 
En ningún caso el índice será considerado como información reservada.</t>
  </si>
  <si>
    <t xml:space="preserve">00 TABLA DE APLICABILIDAD </t>
  </si>
  <si>
    <t>Aplica</t>
  </si>
  <si>
    <t xml:space="preserve">depende su modificacion </t>
  </si>
  <si>
    <t xml:space="preserve">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 </t>
  </si>
  <si>
    <t>Trimestral</t>
  </si>
  <si>
    <t>Su estructura orgánica completa, en un formato que permita vincular cada parte de la estructura, las atribuciones y responsabilidades que le corresponden a cada persona servidora pública prestador de servicios profesionales o miembro de los sujetos obligados, de conformidad con las disposiciones aplicables;</t>
  </si>
  <si>
    <t>Las facultades de cada Área y las relativas a las funciones</t>
  </si>
  <si>
    <t>Las metas y objetivos de las Áreas de conformidad con sus programas operativos</t>
  </si>
  <si>
    <t>Los indicadores relacionados con temas de interés público o trascendencia social que conforme a sus funciones, deban establecer</t>
  </si>
  <si>
    <t>Los indicadores que permitan rendir cuenta de sus objetivos, metas y resultados</t>
  </si>
  <si>
    <t>Los planes, programas o proyectos, con indicadores de gestión, de resultados y sus metas, que permitan evaluar su desempeño por área de conformidad con sus programas operativos</t>
  </si>
  <si>
    <t>El directorio de todas las personas servidoras públicas, desde el titular del sujeto obligado hasta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fotografía, cargo o nombramiento asignado, nivel del puesto en la estructura orgánica, fecha de alta en el cargo, número telefónico, domicilio para recibir correspondencia y dirección de correo electrónico oficiales;</t>
  </si>
  <si>
    <t>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t>
  </si>
  <si>
    <t>No Aplica</t>
  </si>
  <si>
    <t xml:space="preserve">Una lista con el importe con el concepto de viáticos y gastos de representación que mensualmente las personas servidoras públicas hayan ejecutado por concepto de encargo o comisión, así como el objeto e informe de comisión correspondiente; </t>
  </si>
  <si>
    <t>El número total de las plazas y del personal de base y confianza, especificando el total de las vacantes, por nivel de puesto, para cada unidad administrativa;</t>
  </si>
  <si>
    <t xml:space="preserve">Las contrataciones de servicios profesionales por honorarios, señalando los nombres de los prestadores de servicios, los servicios contratados, el monto de los honorarios y el periodo de contratación; </t>
  </si>
  <si>
    <t>La Versión Pública en los sistemas habilitados para ello, de las Declaraciones Patrimoniales, de Intereses y Fiscal de las personas servidoras públicas y colaboradores de los sujetos obligados, que deban presentarlas de acuerdo a la normatividad aplicable</t>
  </si>
  <si>
    <t xml:space="preserve">El domicilio de la Unidad de Transparencia, además de la dirección electrónica donde podrán recibirse las solicitudes para obtener la información </t>
  </si>
  <si>
    <t xml:space="preserve">Las convocatorias a concursos para ocupar cargos públicos y los resultados de los mismos;  </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</si>
  <si>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</si>
  <si>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La información curricular y perfil de los puestos de las personas servidoras públicas, desde el nivel de jefe de departamento o equivalente, hasta el titular del sujeto obligado, así como, en su caso, las sanciones administrativas de que haya sido objeto;</t>
  </si>
  <si>
    <t>El listado de personas servidoras públicas con sanciones administrativas definitivas, especificando la causa de sanción y la disposición;</t>
  </si>
  <si>
    <t>Los servicios que ofrecen señalando los requisitos para acceder a ellos;</t>
  </si>
  <si>
    <t>Los trámites, requisitos y formatos que ofrecen;</t>
  </si>
  <si>
    <t xml:space="preserve">La información financiera sobre el presupuesto asignado, de los últimos tres ejercicios fiscales, la relativa al presupuesto asignado en lo general y por programas, así como los informes trimestrales sobre su ejecución. Esta información incluirá: a) Los ingresos recibidos por cualquier concepto, incluidos los donativos, señalando el nombre de los responsables de recibirlos, administrarlos y ejercerlos, indicando el destino de cada uno de ellos: b) El presupuesto de egresos y método para su estimación, incluida toda la información relativa a los tratamientos fiscales diferenciados o preferenciales; c) Las bases de cálculo de los ingresos; d) Los informes de cuenta pública; e) Aplicación de fondos auxiliares especiales y el origen de los ingresos;  f) Estados financieros y presupuestales, cuando así proceda, y g) Las cantidades recibidas de manera desglosada por concepto de recursos autogenerados, y en su caso, el uso o aplicación que se les da; </t>
  </si>
  <si>
    <t>Los programas operativos anuales y de trabajo en los que se refleje de forma desglosada la ejecución del presupuesto asignado por rubros y capítulos, para verificar el monto ejercido de forma parcial y total;</t>
  </si>
  <si>
    <t>Metas y objetivos de las unidades administrativas de conformidad con sus programas operativos;</t>
  </si>
  <si>
    <t>La información relativa a la Cuenta y Deuda públicas, en términos de la normatividad aplicable;</t>
  </si>
  <si>
    <t>Los montos destinados a gastos relativos a comunicación social y publicidad oficial desglosada por tipo de medio, proveedores, número de contrato y concepto o campaña;</t>
  </si>
  <si>
    <t xml:space="preserve">Los informes de resultados de las auditorías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  </t>
  </si>
  <si>
    <t>Los dictámenes de cuenta pública así como los estados financieros y demás información que los órganos de fiscalización superior utilizan para emitir dichos dictámenes;</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</si>
  <si>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</si>
  <si>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</si>
  <si>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 xml:space="preserve">La información de los resultados sobre procedimientos de adjudicación directa, invitación restringida y licitación de cualquier naturaleza, incluyendo la Versión Pública del documento respectivo y de los contratos celebrados, </t>
  </si>
  <si>
    <t>Los informes que por disposición legal debe rendir el sujeto obligado, la unidad responsable de los mismos, el fundamento legal que obliga a su generación, así como su calendario de publicación;</t>
  </si>
  <si>
    <t>Las estadísticas que generen en cumplimiento de sus facultades, competencias o funciones con la mayor desagregación posible;</t>
  </si>
  <si>
    <t>Informe de avances programáticos o presupuestales, balances generales y su estado financiero;</t>
  </si>
  <si>
    <t xml:space="preserve">Padrón de proveedores y contratistas;  </t>
  </si>
  <si>
    <t xml:space="preserve">Los convenios de coordinación de concertación con los sectores social y privado; así como los convenios institucionales celebrados por el sujeto obligado, especificando el tipo de convenio, con quién se celebra, objetivo, fecha de celebración y vigencia; </t>
  </si>
  <si>
    <t>El inventario de bienes muebles e inmuebles en posesión y propiedad; así como el moto a que ascienden los mismos, siempre que su valor sea superior a 350 veces la unidad de medida vigente en la Ciudad de México, así como el catálogo o informe de altas y bajas;</t>
  </si>
  <si>
    <t>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</si>
  <si>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La relación del número de recomendaciones emitidas por el Instituto al sujeto obligado, y el seguimiento a cada una de ellas;</t>
  </si>
  <si>
    <t>Las resoluciones y laudos que se emitan en procesos o procedimientos seguidos en forma de juicio;</t>
  </si>
  <si>
    <t>Los mecanismos de participación ciudadana;</t>
  </si>
  <si>
    <t>Los programas que ofrecen, incluyendo información sobre la población, objetivo y destino, así como los trámites, tiempos de respuesta, requisitos y formatos para acceder a los mismos</t>
  </si>
  <si>
    <t>La relacionada con los programas y centros destinados a la práctica de actividad física, el ejercicio y el deporte, incluyendo sus direcciones, horarios y modalidades</t>
  </si>
  <si>
    <t>Las actas y resoluciones del Comité de Transparencia de los sujetos obligados;</t>
  </si>
  <si>
    <t>Todas las evaluaciones y encuestas que hagan los sujetos obligados a programas financiados con recursos públicos</t>
  </si>
  <si>
    <t xml:space="preserve">Aplica </t>
  </si>
  <si>
    <t xml:space="preserve">Los estudios financiados con recursos públicos;  </t>
  </si>
  <si>
    <t xml:space="preserve">El listado de jubilados y pensionados y el monto que reciben;  </t>
  </si>
  <si>
    <t xml:space="preserve">Los ingresos recibidos por cualquier concepto señalando el nombre de los responsables de recibirlos, administrarlos y ejercerlos, así como su destino, indicando el destino de cada uno de ellos;  </t>
  </si>
  <si>
    <t xml:space="preserve">Donaciones hechas a terceros en dinero o en especie;  </t>
  </si>
  <si>
    <t xml:space="preserve">El catálogo de disposición y guía de archivo documental;  </t>
  </si>
  <si>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</si>
  <si>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</si>
  <si>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t>
  </si>
  <si>
    <t>La ubicación de todas las obras públicas, señalando: sector al que pertenece, ubicación, monto asignado y ejercicio</t>
  </si>
  <si>
    <t>Los sujetos obligados que otorguen incentivos, condonaciones o reducciones fiscales; concesiones, permisos o licencias por virtud de las cuales se usen, gocen, disfruten o exploten bienes públicos, se ejerzan actos o se desarrolle cualquier actividad de interés público o se opere en auxilio y colaboración de la autoridad, se perciban ingresos de ellas, se reciban o permitan el ejercicio de gasto público, deberán señalar las personas beneficiadas, la temporalidad, los montos y todo aquello relacionado con el acto administrativo, así como lo que para tal efecto le determine el Instituto.</t>
  </si>
  <si>
    <t>Las iniciativas de leyes o decretos y demás disposiciones generales o particulares en materia administrativa</t>
  </si>
  <si>
    <t>El Programa General de Desarrollo de la Ciudad de México vinculado con los programas operativos anuales y los respectivos indicadores de gestión que permitan conocer las metas, por unidad responsable, así como los avances físico y financiero, para cada una de las metas. Sobre los indicadores de gestión se deberá difundir, además, el método de evaluación con una justificación de los resultados obtenidos y el monto de los recursos públicos asignados para su cumplimiento;</t>
  </si>
  <si>
    <t>El presupuesto de egresos y las fórmulas de distribución de los recursos otorgados, desglosando su origen y destino, precisando las cantidades correspondientes a su origen, ya sea federal o local, y señalando en su caso, la cantidad que se destinará a programas de apoyo y desarrollo de los Órganos Políticos Administrativos, Alcaldías o Demarcaciones Territoriales;</t>
  </si>
  <si>
    <t>El listado de expropiaciones decretadas y ejecutadas que incluya, cuando menos, la fecha de expropiación, el domicilio y la causa de utilidad pública y las ocupaciones superficiales</t>
  </si>
  <si>
    <t>Los listados de las personas que incluyan nombre, denominación o razón social y clave del registro federal de los contribuyentes, que han recibido exenciones, condonaciones o cancelaciones de impuestos locales o regímenes especiales en materia tributaria local, así como los montos respectivos cuidando no revelar información confidencial, salvo que los mismos se encuentren relacionados al cumplimiento de los requisitos establecidos para la obtención de los mismos. Asimismo, la información estadística sobre las exenciones previstas en las disposiciones fiscales</t>
  </si>
  <si>
    <t>El listado de patentes de corredores y notarios públicos otorgadas, en términos de la Ley respectiva; así como sus datos de contacto, la información relacionada con el proceso de otorgamiento de la patente y las sanciones que se les hubieran aplicado</t>
  </si>
  <si>
    <t>La información detallada que contengan los planes de desarrollo urbano, ordenamiento territorial y ecológico, los tipos y usos de suelo, licencias de uso y construcción otorgadas por el Gobierno de la Ciudad de México que permitan que el usuario conozca de manera rápida y sencilla el tipo de uso de suelo con que cuenta cada predio, a través de mapas y planos georreferenciados;</t>
  </si>
  <si>
    <t>Las disposiciones administrativas, directamente o a través de la autoridad competente, con el plazo de anticipación que prevea la legislación aplicable al sujeto obligado de que se trate, salvo que su difusión pueda comprometer los efectos que se pretenden lograr o se trate de situaciones de emergencia, de conformidad con dichas disposiciones;</t>
  </si>
  <si>
    <t>Estadísticas e índices delictivos, así como los indicadores de la procuración de justicia;</t>
  </si>
  <si>
    <t>En materia de investigación de los delitos, estadísticas sobre el número de averiguaciones previas o carpetas de investigación: a) En su caso las que fueron desestimadas; b) En cuántas se ejerció acción penal; c) En cuántas se propuso el no ejercicio de la acción penal; d) En cuántas se aplicaron los criterios de oportunidad; e) En cuántas se propuso la reserva o el archivo temporal; y f) Además de las órdenes de aprehensión, de comparecencia, presentación y cateo;</t>
  </si>
  <si>
    <t>Las cantidades recibidas por concepto de multas y servicios de grúa y almacenamiento de vehículos, en su caso, así como el destino al que se aplicaron;</t>
  </si>
  <si>
    <t>Los reglamentos de las leyes expedidos en ejercicio de sus atribuciones;</t>
  </si>
  <si>
    <t>Los convenios de coordinación con la Federación, Entidades Federativas y Municipios, y de concertación con los sectores social y privado, señalando el objeto, las partes y tiempo de duración</t>
  </si>
  <si>
    <t>La información que sea de utilidad o resulte relevante para el conocimiento y evaluación de las funciones y políticas públicas</t>
  </si>
  <si>
    <t>Sistema electrónico con el uso de un tabulador que permita consultar el cobro de impuestos, servicios, derechos y aprovechamientos, así como el total de las cantidades recibidas por estos conceptos, así como informes de avance trimestral de dichos ingresos</t>
  </si>
  <si>
    <t>Relación de constancias, certificados, permisos, licencias, autorizaciones, certificaciones de uso de suelo, registro de manifestaciones y dictámenes de las obras que se llevan a cabo en cada una de las demarcaciones territoriales, que permita conocer el estado, situación jurídica y modificaciones de cualquier índole de cada predio, para la ejecución de obras de construcción, ampliación o demolición de edificaciones o instalaciones o realizar obras de construcción, reparación, y mejoramiento de instalaciones subterráneas;</t>
  </si>
  <si>
    <t>Los recursos remanentes de los ejercicios fiscales anteriores, así como su aplicación específica;</t>
  </si>
  <si>
    <t>Los usos de suelo a través de mapas y planos georreferenciados que permitan que el usuario conozca de manera rápida y sencilla el tipo de uso de suelo con que cuenta cada predio;</t>
  </si>
  <si>
    <t>La georreferenciación e imagen de todas las obras públicas, señalando: sector al que pertenece, ubicación, monto asignado y ejercido;</t>
  </si>
  <si>
    <t>Un listado de las oficinas del Registro Civil en la Ciudad de México, incluyendo su ubicación, el currículum y antigüedad en el cargo de los oficiales o titulares y las estadísticas de los trámites que realice</t>
  </si>
  <si>
    <t>Un listado de los títulos y las empresas concesionarias que participan en la gestión del agua;</t>
  </si>
  <si>
    <t>Los mecanismos e informes de supervisión del desempeño de las empresas concesionarias que participan en la gestión del agua;</t>
  </si>
  <si>
    <t>Información sobre las tarifas del suministro de agua potable según los diferentes usos doméstico, no doméstico y mixto por Colonia y Delegación; el método de cálculo, y la evolución de las mismas;</t>
  </si>
  <si>
    <t>Información trimestral sobre la calidad del agua de la ciudad;</t>
  </si>
  <si>
    <t>Las manifestaciones de impacto ambiental; y</t>
  </si>
  <si>
    <t>Los resultados de estudios de calidad del aire.</t>
  </si>
  <si>
    <t>Los sujetos obligados contarán en la página de inicio de sus portales de Internet con una señalización fácilmente identificable y accesible que cumpla con los requerimientos de sistematización, comprensión y organización de la información a que se refiere este capítulo.
El Instituto establecerá criterios que permitan homologar la presentación de la información en los portales de Internet en los que se establecerá plazos, términos, así como los formatos que habrán de utilizarse para la publicidad de la información; asimismo; promoverá la creación de medios electrónicos para incorporar, localizar y facilitar el acceso a la información pública de oficio.</t>
  </si>
  <si>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</si>
  <si>
    <t>Unidad de Transparencia</t>
  </si>
  <si>
    <t>Dirección de Atención Jurídica</t>
  </si>
  <si>
    <t>Dirección General de Atención a Personas Damnificadas</t>
  </si>
  <si>
    <t>fr00</t>
  </si>
  <si>
    <t>Dirección General Operativa y Dirección General de Atención a Personas Damnificadas</t>
  </si>
  <si>
    <t>No aplica</t>
  </si>
  <si>
    <t>enero, febrero, marzo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</si>
</sst>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d"/>
  </numFmts>
  <fonts count="2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0"/>
      <name val="Calibri"/>
      <family val="2"/>
      <scheme val="minor"/>
    </font>
    <font>
      <sz val="8"/>
      <color theme="1"/>
      <name val="Calibri"/>
      <family val="2"/>
      <scheme val="minor"/>
    </font>
    <font>
      <b/>
      <sz val="26"/>
      <color theme="0"/>
      <name val="Calibri Light"/>
      <family val="2"/>
      <scheme val="major"/>
    </font>
    <font>
      <b/>
      <sz val="20"/>
      <color theme="0"/>
      <name val="Calibri Light"/>
      <family val="2"/>
      <scheme val="major"/>
    </font>
    <font>
      <sz val="8"/>
      <color theme="0"/>
      <name val="Calibri"/>
      <family val="2"/>
      <scheme val="minor"/>
    </font>
    <font>
      <b/>
      <sz val="19"/>
      <color theme="0"/>
      <name val="Calibri"/>
      <family val="2"/>
      <scheme val="minor"/>
    </font>
    <font>
      <i/>
      <sz val="10"/>
      <color theme="8" tint="-0.499984740745262"/>
      <name val="Calibri"/>
      <family val="2"/>
      <scheme val="minor"/>
    </font>
    <font>
      <b/>
      <sz val="11"/>
      <color theme="0"/>
      <name val="Calibri Light"/>
      <family val="2"/>
      <scheme val="major"/>
    </font>
    <font>
      <b/>
      <sz val="11"/>
      <color theme="1"/>
      <name val="Calibri Light"/>
      <family val="2"/>
      <scheme val="major"/>
    </font>
    <font>
      <sz val="11"/>
      <color theme="8" tint="-0.499984740745262"/>
      <name val="Calibri"/>
      <family val="2"/>
      <scheme val="minor"/>
    </font>
    <font>
      <b/>
      <sz val="11"/>
      <color theme="1" tint="0.34998626667073579"/>
      <name val="Calibri"/>
      <family val="2"/>
      <scheme val="minor"/>
    </font>
    <font>
      <sz val="11"/>
      <color theme="1" tint="0.14999847407452621"/>
      <name val="Calibri"/>
      <family val="2"/>
      <scheme val="minor"/>
    </font>
    <font>
      <sz val="15"/>
      <color rgb="FF691C32"/>
      <name val="Calibri"/>
      <family val="2"/>
      <scheme val="minor"/>
    </font>
    <font>
      <sz val="16"/>
      <color rgb="FF691C32"/>
      <name val="Calibri"/>
      <family val="2"/>
      <scheme val="minor"/>
    </font>
    <font>
      <sz val="9"/>
      <color theme="1" tint="0.14999847407452621"/>
      <name val="Calibri"/>
      <family val="2"/>
      <scheme val="minor"/>
    </font>
    <font>
      <sz val="9"/>
      <color theme="8" tint="-0.499984740745262"/>
      <name val="Calibri"/>
      <family val="2"/>
      <scheme val="minor"/>
    </font>
    <font>
      <sz val="9"/>
      <color theme="8"/>
      <name val="Calibri"/>
      <family val="2"/>
      <scheme val="minor"/>
    </font>
    <font>
      <b/>
      <sz val="12"/>
      <color rgb="FF691C32"/>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10312B"/>
        <bgColor indexed="64"/>
      </patternFill>
    </fill>
    <fill>
      <patternFill patternType="solid">
        <fgColor rgb="FF691C32"/>
        <bgColor indexed="64"/>
      </patternFill>
    </fill>
    <fill>
      <patternFill patternType="solid">
        <fgColor rgb="FFFFFF00"/>
        <bgColor indexed="64"/>
      </patternFill>
    </fill>
    <fill>
      <patternFill patternType="solid">
        <fgColor rgb="FF92D050"/>
        <bgColor indexed="64"/>
      </patternFill>
    </fill>
    <fill>
      <patternFill patternType="solid">
        <fgColor rgb="FFBC8F00"/>
        <bgColor indexed="64"/>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rgb="FF10312B"/>
      </left>
      <right/>
      <top style="thin">
        <color rgb="FF10312B"/>
      </top>
      <bottom/>
      <diagonal/>
    </border>
    <border>
      <left/>
      <right/>
      <top style="thin">
        <color rgb="FF10312B"/>
      </top>
      <bottom/>
      <diagonal/>
    </border>
    <border>
      <left/>
      <right style="thin">
        <color rgb="FF10312B"/>
      </right>
      <top style="thin">
        <color rgb="FF10312B"/>
      </top>
      <bottom/>
      <diagonal/>
    </border>
    <border>
      <left style="thin">
        <color rgb="FF10312B"/>
      </left>
      <right/>
      <top/>
      <bottom/>
      <diagonal/>
    </border>
    <border>
      <left/>
      <right style="thin">
        <color rgb="FF10312B"/>
      </right>
      <top/>
      <bottom/>
      <diagonal/>
    </border>
    <border>
      <left style="medium">
        <color rgb="FF691C32"/>
      </left>
      <right/>
      <top style="medium">
        <color rgb="FF691C32"/>
      </top>
      <bottom/>
      <diagonal/>
    </border>
    <border>
      <left/>
      <right/>
      <top style="medium">
        <color rgb="FF691C32"/>
      </top>
      <bottom/>
      <diagonal/>
    </border>
    <border>
      <left/>
      <right style="medium">
        <color rgb="FF691C32"/>
      </right>
      <top style="medium">
        <color rgb="FF691C32"/>
      </top>
      <bottom/>
      <diagonal/>
    </border>
    <border>
      <left style="medium">
        <color rgb="FF691C32"/>
      </left>
      <right/>
      <top/>
      <bottom/>
      <diagonal/>
    </border>
    <border>
      <left/>
      <right style="medium">
        <color rgb="FF691C32"/>
      </right>
      <top/>
      <bottom/>
      <diagonal/>
    </border>
    <border>
      <left/>
      <right/>
      <top/>
      <bottom style="thin">
        <color rgb="FF691C32"/>
      </bottom>
      <diagonal/>
    </border>
    <border>
      <left/>
      <right style="thin">
        <color rgb="FF10312B"/>
      </right>
      <top/>
      <bottom style="thin">
        <color rgb="FF691C32"/>
      </bottom>
      <diagonal/>
    </border>
    <border>
      <left style="medium">
        <color rgb="FF691C32"/>
      </left>
      <right/>
      <top/>
      <bottom style="medium">
        <color rgb="FF691C32"/>
      </bottom>
      <diagonal/>
    </border>
    <border>
      <left/>
      <right/>
      <top/>
      <bottom style="medium">
        <color rgb="FF691C32"/>
      </bottom>
      <diagonal/>
    </border>
    <border>
      <left/>
      <right style="medium">
        <color rgb="FF691C32"/>
      </right>
      <top/>
      <bottom style="medium">
        <color rgb="FF691C32"/>
      </bottom>
      <diagonal/>
    </border>
    <border>
      <left style="thin">
        <color rgb="FF10312B"/>
      </left>
      <right style="thin">
        <color indexed="64"/>
      </right>
      <top style="thin">
        <color rgb="FF10312B"/>
      </top>
      <bottom style="thin">
        <color indexed="64"/>
      </bottom>
      <diagonal/>
    </border>
    <border>
      <left style="thin">
        <color indexed="64"/>
      </left>
      <right style="thin">
        <color indexed="64"/>
      </right>
      <top style="thin">
        <color rgb="FF10312B"/>
      </top>
      <bottom style="thin">
        <color indexed="64"/>
      </bottom>
      <diagonal/>
    </border>
    <border>
      <left style="thin">
        <color indexed="64"/>
      </left>
      <right style="thin">
        <color rgb="FF10312B"/>
      </right>
      <top style="thin">
        <color rgb="FF10312B"/>
      </top>
      <bottom/>
      <diagonal/>
    </border>
    <border>
      <left style="thin">
        <color rgb="FF10312B"/>
      </left>
      <right style="thin">
        <color indexed="64"/>
      </right>
      <top style="thin">
        <color indexed="64"/>
      </top>
      <bottom/>
      <diagonal/>
    </border>
    <border>
      <left style="thin">
        <color indexed="64"/>
      </left>
      <right/>
      <top style="thin">
        <color indexed="64"/>
      </top>
      <bottom/>
      <diagonal/>
    </border>
    <border>
      <left style="thin">
        <color rgb="FF10312B"/>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rgb="FF10312B"/>
      </right>
      <top/>
      <bottom style="thin">
        <color rgb="FF10312B"/>
      </bottom>
      <diagonal/>
    </border>
    <border>
      <left style="thin">
        <color rgb="FF10312B"/>
      </left>
      <right style="thin">
        <color indexed="64"/>
      </right>
      <top/>
      <bottom style="thin">
        <color rgb="FF10312B"/>
      </bottom>
      <diagonal/>
    </border>
    <border>
      <left style="thin">
        <color indexed="64"/>
      </left>
      <right/>
      <top/>
      <bottom style="thin">
        <color rgb="FF10312B"/>
      </bottom>
      <diagonal/>
    </border>
    <border>
      <left style="thin">
        <color indexed="64"/>
      </left>
      <right style="thin">
        <color indexed="64"/>
      </right>
      <top style="thin">
        <color rgb="FF10312B"/>
      </top>
      <bottom/>
      <diagonal/>
    </border>
    <border>
      <left style="thin">
        <color rgb="FF10312B"/>
      </left>
      <right/>
      <top style="thin">
        <color indexed="64"/>
      </top>
      <bottom/>
      <diagonal/>
    </border>
    <border>
      <left style="thin">
        <color rgb="FF10312B"/>
      </left>
      <right style="thin">
        <color rgb="FF10312B"/>
      </right>
      <top style="thin">
        <color rgb="FF10312B"/>
      </top>
      <bottom/>
      <diagonal/>
    </border>
    <border>
      <left style="thin">
        <color rgb="FF10312B"/>
      </left>
      <right style="thin">
        <color rgb="FF10312B"/>
      </right>
      <top/>
      <bottom style="thin">
        <color rgb="FF10312B"/>
      </bottom>
      <diagonal/>
    </border>
    <border>
      <left style="thin">
        <color rgb="FF10312B"/>
      </left>
      <right style="thin">
        <color rgb="FF10312B"/>
      </right>
      <top/>
      <bottom/>
      <diagonal/>
    </border>
    <border>
      <left style="thin">
        <color rgb="FF10312B"/>
      </left>
      <right/>
      <top/>
      <bottom style="thin">
        <color rgb="FF10312B"/>
      </bottom>
      <diagonal/>
    </border>
    <border>
      <left style="medium">
        <color rgb="FF691C32"/>
      </left>
      <right/>
      <top/>
      <bottom style="thin">
        <color rgb="FF10312B"/>
      </bottom>
      <diagonal/>
    </border>
    <border>
      <left/>
      <right/>
      <top/>
      <bottom style="thin">
        <color rgb="FF10312B"/>
      </bottom>
      <diagonal/>
    </border>
    <border>
      <left/>
      <right style="medium">
        <color rgb="FF691C32"/>
      </right>
      <top/>
      <bottom style="thin">
        <color rgb="FF10312B"/>
      </bottom>
      <diagonal/>
    </border>
  </borders>
  <cellStyleXfs count="34">
    <xf numFmtId="0" fontId="0" fillId="0" borderId="0"/>
    <xf numFmtId="0" fontId="4" fillId="3" borderId="0"/>
    <xf numFmtId="0" fontId="6"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118">
    <xf numFmtId="0" fontId="0" fillId="0" borderId="0" xfId="0"/>
    <xf numFmtId="164" fontId="6" fillId="3" borderId="0" xfId="2" applyNumberFormat="1" applyAlignment="1">
      <alignment wrapText="1"/>
    </xf>
    <xf numFmtId="0" fontId="6" fillId="5" borderId="2" xfId="2" applyFill="1" applyBorder="1"/>
    <xf numFmtId="0" fontId="9" fillId="5" borderId="3" xfId="2" applyFont="1" applyFill="1" applyBorder="1"/>
    <xf numFmtId="0" fontId="6" fillId="5" borderId="3" xfId="2" applyFill="1" applyBorder="1"/>
    <xf numFmtId="0" fontId="6" fillId="3" borderId="0" xfId="2"/>
    <xf numFmtId="164" fontId="1" fillId="3" borderId="0" xfId="2" applyNumberFormat="1" applyFont="1" applyAlignment="1">
      <alignment vertical="center"/>
    </xf>
    <xf numFmtId="0" fontId="11" fillId="3" borderId="5" xfId="2" applyFont="1" applyBorder="1" applyAlignment="1">
      <alignment horizontal="left" vertical="center" indent="2"/>
    </xf>
    <xf numFmtId="0" fontId="1" fillId="3" borderId="6" xfId="2" applyFont="1" applyBorder="1"/>
    <xf numFmtId="164" fontId="6" fillId="3" borderId="0" xfId="2" applyNumberFormat="1"/>
    <xf numFmtId="0" fontId="6" fillId="3" borderId="5" xfId="2" applyBorder="1"/>
    <xf numFmtId="0" fontId="1" fillId="3" borderId="6" xfId="2" applyFont="1" applyBorder="1" applyAlignment="1">
      <alignment horizontal="center"/>
    </xf>
    <xf numFmtId="0" fontId="15" fillId="3" borderId="10" xfId="2" applyFont="1" applyBorder="1" applyAlignment="1">
      <alignment horizontal="center"/>
    </xf>
    <xf numFmtId="0" fontId="15" fillId="3" borderId="11" xfId="2" applyFont="1" applyBorder="1" applyAlignment="1">
      <alignment horizontal="center"/>
    </xf>
    <xf numFmtId="165" fontId="1" fillId="3" borderId="10" xfId="2" applyNumberFormat="1" applyFont="1" applyBorder="1" applyAlignment="1">
      <alignment horizontal="center"/>
    </xf>
    <xf numFmtId="165" fontId="1" fillId="3" borderId="11" xfId="2" applyNumberFormat="1" applyFont="1" applyBorder="1" applyAlignment="1">
      <alignment horizontal="center"/>
    </xf>
    <xf numFmtId="165" fontId="1" fillId="8" borderId="10" xfId="2" applyNumberFormat="1" applyFont="1" applyFill="1" applyBorder="1" applyAlignment="1">
      <alignment horizontal="center"/>
    </xf>
    <xf numFmtId="0" fontId="6" fillId="3" borderId="6" xfId="2" applyBorder="1"/>
    <xf numFmtId="165" fontId="1" fillId="3" borderId="14" xfId="2" applyNumberFormat="1" applyFont="1" applyBorder="1" applyAlignment="1">
      <alignment horizontal="center"/>
    </xf>
    <xf numFmtId="165" fontId="1" fillId="3" borderId="15" xfId="2" applyNumberFormat="1" applyFont="1" applyBorder="1" applyAlignment="1">
      <alignment horizontal="center"/>
    </xf>
    <xf numFmtId="165" fontId="1" fillId="3" borderId="16" xfId="2" applyNumberFormat="1" applyFont="1" applyBorder="1" applyAlignment="1">
      <alignment horizontal="center"/>
    </xf>
    <xf numFmtId="165" fontId="6" fillId="3" borderId="0" xfId="2" applyNumberFormat="1"/>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xf>
    <xf numFmtId="0" fontId="5" fillId="6" borderId="19" xfId="2" applyFont="1" applyFill="1" applyBorder="1" applyAlignment="1">
      <alignment horizontal="center"/>
    </xf>
    <xf numFmtId="0" fontId="5" fillId="6" borderId="28" xfId="2" applyFont="1" applyFill="1" applyBorder="1" applyAlignment="1">
      <alignment horizontal="center" vertical="center"/>
    </xf>
    <xf numFmtId="0" fontId="1" fillId="3" borderId="4" xfId="2" applyFont="1" applyBorder="1" applyAlignment="1">
      <alignment vertical="center"/>
    </xf>
    <xf numFmtId="0" fontId="1" fillId="3" borderId="6" xfId="2" applyFont="1" applyBorder="1" applyAlignment="1">
      <alignment vertical="center"/>
    </xf>
    <xf numFmtId="0" fontId="1" fillId="3" borderId="25" xfId="2" applyFont="1" applyBorder="1" applyAlignment="1">
      <alignment vertical="center"/>
    </xf>
    <xf numFmtId="0" fontId="6" fillId="3" borderId="6" xfId="2" applyBorder="1" applyAlignment="1">
      <alignment horizontal="center"/>
    </xf>
    <xf numFmtId="0" fontId="6" fillId="3" borderId="33" xfId="2" applyBorder="1"/>
    <xf numFmtId="165" fontId="1" fillId="3" borderId="34" xfId="2" applyNumberFormat="1" applyFont="1" applyBorder="1" applyAlignment="1">
      <alignment horizontal="center"/>
    </xf>
    <xf numFmtId="165" fontId="1" fillId="3" borderId="35" xfId="2" applyNumberFormat="1" applyFont="1" applyBorder="1" applyAlignment="1">
      <alignment horizontal="center"/>
    </xf>
    <xf numFmtId="165" fontId="1" fillId="3" borderId="36" xfId="2" applyNumberFormat="1" applyFont="1" applyBorder="1" applyAlignment="1">
      <alignment horizontal="center"/>
    </xf>
    <xf numFmtId="0" fontId="1" fillId="3" borderId="35" xfId="2" applyFont="1" applyBorder="1"/>
    <xf numFmtId="0" fontId="6" fillId="3" borderId="35" xfId="2" applyBorder="1"/>
    <xf numFmtId="0" fontId="6" fillId="5" borderId="35" xfId="2" applyFill="1" applyBorder="1"/>
    <xf numFmtId="49" fontId="6" fillId="3" borderId="0" xfId="2" applyNumberFormat="1"/>
    <xf numFmtId="0" fontId="11" fillId="3" borderId="0" xfId="2" applyFont="1" applyAlignment="1">
      <alignment horizontal="left" vertical="center" indent="2"/>
    </xf>
    <xf numFmtId="0" fontId="6" fillId="5" borderId="0" xfId="2" applyFill="1"/>
    <xf numFmtId="0" fontId="1" fillId="3" borderId="0" xfId="2" applyFont="1"/>
    <xf numFmtId="0" fontId="13" fillId="3" borderId="0" xfId="2" applyFont="1"/>
    <xf numFmtId="49" fontId="14" fillId="3" borderId="0" xfId="2" applyNumberFormat="1" applyFont="1" applyAlignment="1">
      <alignment horizontal="left"/>
    </xf>
    <xf numFmtId="0" fontId="15" fillId="3" borderId="0" xfId="2" applyFont="1" applyAlignment="1">
      <alignment horizontal="center"/>
    </xf>
    <xf numFmtId="0" fontId="1" fillId="3" borderId="0" xfId="2" applyFont="1" applyAlignment="1">
      <alignment horizontal="center"/>
    </xf>
    <xf numFmtId="49" fontId="16" fillId="3" borderId="0" xfId="2" applyNumberFormat="1" applyFont="1" applyAlignment="1">
      <alignment horizontal="left"/>
    </xf>
    <xf numFmtId="165" fontId="1" fillId="3" borderId="0" xfId="2" applyNumberFormat="1" applyFont="1" applyAlignment="1">
      <alignment horizontal="center"/>
    </xf>
    <xf numFmtId="165" fontId="1" fillId="7" borderId="0" xfId="2" applyNumberFormat="1" applyFont="1" applyFill="1" applyAlignment="1">
      <alignment horizontal="center"/>
    </xf>
    <xf numFmtId="49" fontId="1" fillId="3" borderId="0" xfId="2" applyNumberFormat="1" applyFont="1" applyAlignment="1">
      <alignment horizontal="left"/>
    </xf>
    <xf numFmtId="165" fontId="5" fillId="9" borderId="0" xfId="2" applyNumberFormat="1" applyFont="1" applyFill="1" applyAlignment="1">
      <alignment horizontal="center"/>
    </xf>
    <xf numFmtId="0" fontId="1" fillId="7" borderId="0" xfId="2" applyFont="1" applyFill="1"/>
    <xf numFmtId="0" fontId="1" fillId="9" borderId="0" xfId="2" applyFont="1" applyFill="1"/>
    <xf numFmtId="165" fontId="1" fillId="3" borderId="0" xfId="2" applyNumberFormat="1" applyFont="1"/>
    <xf numFmtId="165" fontId="6" fillId="5" borderId="0" xfId="2" applyNumberFormat="1" applyFill="1"/>
    <xf numFmtId="0" fontId="1" fillId="8" borderId="0" xfId="2" applyFont="1" applyFill="1"/>
    <xf numFmtId="165" fontId="5" fillId="3" borderId="0" xfId="2" applyNumberFormat="1" applyFont="1" applyAlignment="1">
      <alignment horizontal="center"/>
    </xf>
    <xf numFmtId="0" fontId="1" fillId="3" borderId="0" xfId="2" applyFont="1" applyAlignment="1">
      <alignment vertical="center"/>
    </xf>
    <xf numFmtId="49" fontId="19" fillId="3" borderId="0" xfId="2" applyNumberFormat="1" applyFont="1" applyAlignment="1">
      <alignment horizontal="left"/>
    </xf>
    <xf numFmtId="49" fontId="6" fillId="3" borderId="0" xfId="2" applyNumberFormat="1" applyAlignment="1">
      <alignment horizontal="left"/>
    </xf>
    <xf numFmtId="49" fontId="20" fillId="3" borderId="0" xfId="2" applyNumberFormat="1" applyFont="1"/>
    <xf numFmtId="49" fontId="21" fillId="3" borderId="0" xfId="2" applyNumberFormat="1" applyFont="1"/>
    <xf numFmtId="164" fontId="6" fillId="3" borderId="0" xfId="2" applyNumberFormat="1" applyAlignment="1">
      <alignment horizontal="center"/>
    </xf>
    <xf numFmtId="0" fontId="0" fillId="3" borderId="0" xfId="29" applyFont="1" applyAlignment="1"/>
    <xf numFmtId="17" fontId="0" fillId="0" borderId="0" xfId="0" applyNumberFormat="1" applyAlignment="1">
      <alignment horizontal="right"/>
    </xf>
    <xf numFmtId="0" fontId="3" fillId="10" borderId="0" xfId="30" applyFont="1" applyFill="1" applyBorder="1" applyAlignment="1">
      <alignment horizontal="center"/>
    </xf>
    <xf numFmtId="0" fontId="4" fillId="10" borderId="0" xfId="30" applyFill="1" applyAlignment="1"/>
    <xf numFmtId="0" fontId="0" fillId="0" borderId="0" xfId="0" applyAlignment="1"/>
    <xf numFmtId="0" fontId="3" fillId="4" borderId="1" xfId="0" applyFont="1" applyFill="1" applyBorder="1" applyAlignment="1">
      <alignment horizontal="center"/>
    </xf>
    <xf numFmtId="3" fontId="3" fillId="10" borderId="0" xfId="30" applyNumberFormat="1" applyFont="1" applyFill="1" applyBorder="1" applyAlignment="1">
      <alignment horizontal="right"/>
    </xf>
    <xf numFmtId="0" fontId="4" fillId="3" borderId="0" xfId="27" applyAlignment="1"/>
    <xf numFmtId="0" fontId="4" fillId="3" borderId="0" xfId="28" applyAlignment="1"/>
    <xf numFmtId="0" fontId="4" fillId="10" borderId="0" xfId="31" applyFill="1"/>
    <xf numFmtId="0" fontId="3" fillId="10" borderId="0" xfId="31" applyFont="1" applyFill="1" applyBorder="1" applyAlignment="1">
      <alignment horizontal="center" wrapText="1"/>
    </xf>
    <xf numFmtId="0" fontId="4" fillId="10" borderId="0" xfId="31" applyFill="1" applyAlignment="1"/>
    <xf numFmtId="0" fontId="4" fillId="10" borderId="0" xfId="32" applyFill="1"/>
    <xf numFmtId="14" fontId="3" fillId="10" borderId="0" xfId="32" applyNumberFormat="1" applyFont="1" applyFill="1" applyBorder="1" applyAlignment="1">
      <alignment horizontal="center" wrapText="1"/>
    </xf>
    <xf numFmtId="0" fontId="4" fillId="10" borderId="0" xfId="33" applyFill="1"/>
    <xf numFmtId="0" fontId="3" fillId="10" borderId="0" xfId="30" applyFont="1" applyFill="1" applyBorder="1" applyAlignment="1">
      <alignment horizontal="left"/>
    </xf>
    <xf numFmtId="0" fontId="0" fillId="10" borderId="0" xfId="33" applyFont="1" applyFill="1"/>
    <xf numFmtId="0" fontId="2" fillId="2" borderId="1" xfId="0" applyFont="1" applyFill="1" applyBorder="1" applyAlignment="1">
      <alignment horizontal="center"/>
    </xf>
    <xf numFmtId="0" fontId="0" fillId="0" borderId="0" xfId="0" applyAlignment="1"/>
    <xf numFmtId="0" fontId="3" fillId="4" borderId="1" xfId="0" applyFont="1" applyFill="1" applyBorder="1" applyAlignment="1"/>
    <xf numFmtId="49" fontId="17" fillId="3" borderId="0" xfId="2" applyNumberFormat="1" applyFont="1" applyAlignment="1">
      <alignment horizontal="left"/>
    </xf>
    <xf numFmtId="49" fontId="18" fillId="3" borderId="0" xfId="2" applyNumberFormat="1" applyFont="1" applyAlignment="1">
      <alignment horizontal="left"/>
    </xf>
    <xf numFmtId="49" fontId="18" fillId="3" borderId="6" xfId="2" applyNumberFormat="1" applyFont="1" applyBorder="1" applyAlignment="1">
      <alignment horizontal="left"/>
    </xf>
    <xf numFmtId="49" fontId="18" fillId="3" borderId="12" xfId="2" applyNumberFormat="1" applyFont="1" applyBorder="1" applyAlignment="1">
      <alignment horizontal="left"/>
    </xf>
    <xf numFmtId="49" fontId="18" fillId="3" borderId="13" xfId="2" applyNumberFormat="1" applyFont="1" applyBorder="1" applyAlignment="1">
      <alignment horizontal="left"/>
    </xf>
    <xf numFmtId="0" fontId="7" fillId="5" borderId="3" xfId="2" applyFont="1" applyFill="1" applyBorder="1" applyAlignment="1">
      <alignment horizontal="left" vertical="center"/>
    </xf>
    <xf numFmtId="0" fontId="8" fillId="5" borderId="3" xfId="2" applyFont="1" applyFill="1" applyBorder="1" applyAlignment="1">
      <alignment horizontal="left" vertical="center"/>
    </xf>
    <xf numFmtId="0" fontId="10" fillId="5" borderId="3" xfId="2" applyFont="1" applyFill="1" applyBorder="1" applyAlignment="1">
      <alignment horizontal="center"/>
    </xf>
    <xf numFmtId="0" fontId="10" fillId="5" borderId="4" xfId="2" applyFont="1" applyFill="1" applyBorder="1" applyAlignment="1">
      <alignment horizontal="center"/>
    </xf>
    <xf numFmtId="0" fontId="12" fillId="6" borderId="7" xfId="2" applyFont="1" applyFill="1" applyBorder="1" applyAlignment="1">
      <alignment horizontal="left"/>
    </xf>
    <xf numFmtId="0" fontId="12" fillId="6" borderId="8" xfId="2" applyFont="1" applyFill="1" applyBorder="1" applyAlignment="1">
      <alignment horizontal="left"/>
    </xf>
    <xf numFmtId="0" fontId="12" fillId="6" borderId="9" xfId="2" applyFont="1" applyFill="1" applyBorder="1" applyAlignment="1">
      <alignment horizontal="left"/>
    </xf>
    <xf numFmtId="0" fontId="12" fillId="6" borderId="7" xfId="2" applyFont="1" applyFill="1" applyBorder="1"/>
    <xf numFmtId="0" fontId="12" fillId="6" borderId="8" xfId="2" applyFont="1" applyFill="1" applyBorder="1"/>
    <xf numFmtId="0" fontId="12" fillId="6" borderId="9" xfId="2" applyFont="1" applyFill="1" applyBorder="1"/>
    <xf numFmtId="0" fontId="1" fillId="7" borderId="20" xfId="2" applyFont="1" applyFill="1" applyBorder="1" applyAlignment="1">
      <alignment horizontal="center" vertical="center"/>
    </xf>
    <xf numFmtId="0" fontId="1" fillId="7" borderId="22" xfId="2" applyFont="1" applyFill="1" applyBorder="1" applyAlignment="1">
      <alignment horizontal="center" vertical="center"/>
    </xf>
    <xf numFmtId="0" fontId="1" fillId="7" borderId="26" xfId="2" applyFont="1" applyFill="1" applyBorder="1" applyAlignment="1">
      <alignment horizontal="center" vertical="center"/>
    </xf>
    <xf numFmtId="0" fontId="1" fillId="3" borderId="21" xfId="2" applyFont="1" applyBorder="1" applyAlignment="1">
      <alignment horizontal="left" vertical="center"/>
    </xf>
    <xf numFmtId="0" fontId="1" fillId="3" borderId="23" xfId="2" applyFont="1" applyBorder="1" applyAlignment="1">
      <alignment horizontal="left" vertical="center"/>
    </xf>
    <xf numFmtId="0" fontId="1" fillId="3" borderId="24" xfId="2" applyFont="1" applyBorder="1" applyAlignment="1">
      <alignment horizontal="left" vertical="center"/>
    </xf>
    <xf numFmtId="0" fontId="1" fillId="3" borderId="4" xfId="2" applyFont="1" applyBorder="1" applyAlignment="1">
      <alignment horizontal="left" vertical="center"/>
    </xf>
    <xf numFmtId="0" fontId="1" fillId="3" borderId="6" xfId="2" applyFont="1" applyBorder="1" applyAlignment="1">
      <alignment horizontal="left" vertical="center"/>
    </xf>
    <xf numFmtId="0" fontId="1" fillId="3" borderId="25" xfId="2" applyFont="1" applyBorder="1" applyAlignment="1">
      <alignment horizontal="left" vertical="center"/>
    </xf>
    <xf numFmtId="0" fontId="1" fillId="3" borderId="4" xfId="2" applyFont="1" applyBorder="1" applyAlignment="1">
      <alignment horizontal="left" vertical="center" wrapText="1"/>
    </xf>
    <xf numFmtId="0" fontId="1" fillId="3" borderId="25" xfId="2" applyFont="1" applyBorder="1" applyAlignment="1">
      <alignment horizontal="left" vertical="center" wrapText="1"/>
    </xf>
    <xf numFmtId="0" fontId="1" fillId="3" borderId="27" xfId="2" applyFont="1" applyBorder="1" applyAlignment="1">
      <alignment horizontal="left" vertical="center"/>
    </xf>
    <xf numFmtId="0" fontId="5" fillId="9" borderId="29" xfId="2" applyFont="1" applyFill="1" applyBorder="1" applyAlignment="1">
      <alignment horizontal="center" vertical="center"/>
    </xf>
    <xf numFmtId="0" fontId="5" fillId="9" borderId="5" xfId="2" applyFont="1" applyFill="1" applyBorder="1" applyAlignment="1">
      <alignment horizontal="center" vertical="center"/>
    </xf>
    <xf numFmtId="0" fontId="5" fillId="9" borderId="33" xfId="2" applyFont="1" applyFill="1" applyBorder="1" applyAlignment="1">
      <alignment horizontal="center" vertical="center"/>
    </xf>
    <xf numFmtId="0" fontId="1" fillId="3" borderId="30" xfId="2" applyFont="1" applyBorder="1" applyAlignment="1">
      <alignment horizontal="left" vertical="center"/>
    </xf>
    <xf numFmtId="0" fontId="1" fillId="3" borderId="31" xfId="2" applyFont="1" applyBorder="1" applyAlignment="1">
      <alignment horizontal="left" vertical="center"/>
    </xf>
    <xf numFmtId="0" fontId="1" fillId="3" borderId="32" xfId="2" applyFont="1" applyBorder="1" applyAlignment="1">
      <alignment horizontal="left" vertical="center"/>
    </xf>
    <xf numFmtId="0" fontId="1" fillId="3" borderId="6" xfId="2" applyFont="1" applyBorder="1" applyAlignment="1">
      <alignment horizontal="left" vertical="center" wrapText="1"/>
    </xf>
    <xf numFmtId="0" fontId="22" fillId="3" borderId="35" xfId="2" applyFont="1" applyBorder="1" applyAlignment="1">
      <alignment horizontal="left"/>
    </xf>
    <xf numFmtId="0" fontId="22" fillId="3" borderId="25" xfId="2" applyFont="1" applyBorder="1" applyAlignment="1">
      <alignment horizontal="left"/>
    </xf>
  </cellXfs>
  <cellStyles count="34">
    <cellStyle name="Normal" xfId="0" builtinId="0"/>
    <cellStyle name="Normal 10" xfId="9"/>
    <cellStyle name="Normal 11" xfId="10"/>
    <cellStyle name="Normal 12" xfId="11"/>
    <cellStyle name="Normal 13" xfId="12"/>
    <cellStyle name="Normal 14" xfId="13"/>
    <cellStyle name="Normal 15" xfId="14"/>
    <cellStyle name="Normal 16" xfId="15"/>
    <cellStyle name="Normal 17" xfId="16"/>
    <cellStyle name="Normal 18" xfId="17"/>
    <cellStyle name="Normal 19" xfId="18"/>
    <cellStyle name="Normal 2" xfId="2"/>
    <cellStyle name="Normal 20" xfId="19"/>
    <cellStyle name="Normal 21" xfId="20"/>
    <cellStyle name="Normal 22" xfId="21"/>
    <cellStyle name="Normal 23" xfId="22"/>
    <cellStyle name="Normal 24" xfId="23"/>
    <cellStyle name="Normal 25" xfId="24"/>
    <cellStyle name="Normal 26" xfId="25"/>
    <cellStyle name="Normal 27" xfId="26"/>
    <cellStyle name="Normal 28" xfId="27"/>
    <cellStyle name="Normal 29" xfId="28"/>
    <cellStyle name="Normal 3" xfId="1"/>
    <cellStyle name="Normal 30" xfId="29"/>
    <cellStyle name="Normal 31" xfId="30"/>
    <cellStyle name="Normal 32" xfId="31"/>
    <cellStyle name="Normal 33" xfId="32"/>
    <cellStyle name="Normal 34" xfId="33"/>
    <cellStyle name="Normal 4" xfId="3"/>
    <cellStyle name="Normal 5" xfId="4"/>
    <cellStyle name="Normal 6" xfId="5"/>
    <cellStyle name="Normal 7" xfId="6"/>
    <cellStyle name="Normal 8" xfId="7"/>
    <cellStyle name="Normal 9" xfId="8"/>
  </cellStyles>
  <dxfs count="108">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d"/>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theme="1" tint="0.34998626667073579"/>
        <name val="Calibri"/>
        <scheme val="minor"/>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C$1" max="2999" min="1900" page="10" val="202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0</xdr:row>
          <xdr:rowOff>38100</xdr:rowOff>
        </xdr:from>
        <xdr:to>
          <xdr:col>2</xdr:col>
          <xdr:colOff>47625</xdr:colOff>
          <xdr:row>0</xdr:row>
          <xdr:rowOff>342900</xdr:rowOff>
        </xdr:to>
        <xdr:sp macro="" textlink="">
          <xdr:nvSpPr>
            <xdr:cNvPr id="2049" name="Control numérico" hidden="1">
              <a:extLst>
                <a:ext uri="{63B3BB69-23CF-44E3-9099-C40C66FF867C}">
                  <a14:compatExt spid="_x0000_s2049"/>
                </a:ext>
              </a:extLst>
            </xdr:cNvPr>
            <xdr:cNvSpPr/>
          </xdr:nvSpPr>
          <xdr:spPr>
            <a:xfrm>
              <a:off x="0" y="0"/>
              <a:ext cx="0" cy="0"/>
            </a:xfrm>
            <a:prstGeom prst="rect">
              <a:avLst/>
            </a:prstGeom>
          </xdr:spPr>
        </xdr:sp>
        <xdr:clientData fPrintsWithSheet="0"/>
      </xdr:twoCellAnchor>
    </mc:Choice>
    <mc:Fallback/>
  </mc:AlternateContent>
  <xdr:twoCellAnchor editAs="oneCell">
    <xdr:from>
      <xdr:col>20</xdr:col>
      <xdr:colOff>142875</xdr:colOff>
      <xdr:row>2</xdr:row>
      <xdr:rowOff>47625</xdr:rowOff>
    </xdr:from>
    <xdr:to>
      <xdr:col>22</xdr:col>
      <xdr:colOff>392881</xdr:colOff>
      <xdr:row>5</xdr:row>
      <xdr:rowOff>0</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01050" y="619125"/>
          <a:ext cx="3536131" cy="523875"/>
        </a:xfrm>
        <a:prstGeom prst="rect">
          <a:avLst/>
        </a:prstGeom>
      </xdr:spPr>
    </xdr:pic>
    <xdr:clientData/>
  </xdr:twoCellAnchor>
</xdr:wsDr>
</file>

<file path=xl/tables/table1.xml><?xml version="1.0" encoding="utf-8"?>
<table xmlns="http://schemas.openxmlformats.org/spreadsheetml/2006/main" id="1" name="Septiembre" displayName="Septiembre" ref="C40:I46" totalsRowShown="0" headerRowDxfId="107" dataDxfId="106">
  <autoFilter ref="C40:I4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105"/>
    <tableColumn id="2" name="MAR" dataDxfId="104"/>
    <tableColumn id="3" name="MIÉ" dataDxfId="103"/>
    <tableColumn id="4" name="JUE" dataDxfId="102"/>
    <tableColumn id="5" name="VIE" dataDxfId="101"/>
    <tableColumn id="6" name="SÁB" dataDxfId="100"/>
    <tableColumn id="7" name="DOM" dataDxfId="99"/>
  </tableColumns>
  <tableStyleInfo showFirstColumn="0" showLastColumn="0" showRowStripes="0" showColumnStripes="0"/>
  <extLst>
    <ext xmlns:x14="http://schemas.microsoft.com/office/spreadsheetml/2009/9/main" uri="{504A1905-F514-4f6f-8877-14C23A59335A}">
      <x14:table altTextSummary="El calendario de septiembre en esta tabla se actualiza automáticamente con fechas y nombres de los días laborables"/>
    </ext>
  </extLst>
</table>
</file>

<file path=xl/tables/table10.xml><?xml version="1.0" encoding="utf-8"?>
<table xmlns="http://schemas.openxmlformats.org/spreadsheetml/2006/main" id="10" name="Abril" displayName="Abril" ref="K13:Q19" totalsRowShown="0" headerRowDxfId="26" dataDxfId="25">
  <autoFilter ref="K13:Q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24"/>
    <tableColumn id="2" name="MAR" dataDxfId="23"/>
    <tableColumn id="3" name="MIÉ" dataDxfId="22"/>
    <tableColumn id="4" name="JUE" dataDxfId="21"/>
    <tableColumn id="5" name="VIE" dataDxfId="20"/>
    <tableColumn id="6" name="SÁB" dataDxfId="19"/>
    <tableColumn id="7" name="DOM" dataDxfId="18"/>
  </tableColumns>
  <tableStyleInfo showFirstColumn="0" showLastColumn="0" showRowStripes="0" showColumnStripes="0"/>
  <extLst>
    <ext xmlns:x14="http://schemas.microsoft.com/office/spreadsheetml/2009/9/main" uri="{504A1905-F514-4f6f-8877-14C23A59335A}">
      <x14:table altTextSummary="El calendario de abril en esta tabla se actualiza automáticamente con fechas y nombres de los días laborables"/>
    </ext>
  </extLst>
</table>
</file>

<file path=xl/tables/table11.xml><?xml version="1.0" encoding="utf-8"?>
<table xmlns="http://schemas.openxmlformats.org/spreadsheetml/2006/main" id="11" name="Febrero" displayName="Febrero" ref="K4:Q10" totalsRowShown="0" headerRowDxfId="17" dataDxfId="16">
  <autoFilter ref="K4:Q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15"/>
    <tableColumn id="2" name="MAR" dataDxfId="14"/>
    <tableColumn id="3" name="MIÉ." dataDxfId="13"/>
    <tableColumn id="4" name="JUE" dataDxfId="12"/>
    <tableColumn id="5" name="VIE" dataDxfId="11"/>
    <tableColumn id="6" name="SÁB" dataDxfId="10"/>
    <tableColumn id="7" name="DOM" dataDxfId="9"/>
  </tableColumns>
  <tableStyleInfo showFirstColumn="0" showLastColumn="0" showRowStripes="0" showColumnStripes="0"/>
  <extLst>
    <ext xmlns:x14="http://schemas.microsoft.com/office/spreadsheetml/2009/9/main" uri="{504A1905-F514-4f6f-8877-14C23A59335A}">
      <x14:table altTextSummary="El calendario de febrero en esta tabla se actualiza automáticamente con fechas y nombres de los días laborables "/>
    </ext>
  </extLst>
</table>
</file>

<file path=xl/tables/table12.xml><?xml version="1.0" encoding="utf-8"?>
<table xmlns="http://schemas.openxmlformats.org/spreadsheetml/2006/main" id="12" name="Enero" displayName="Enero" ref="C4:I10" totalsRowShown="0" headerRowDxfId="8" dataDxfId="7">
  <autoFilter ref="C4:I1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6"/>
    <tableColumn id="2" name="MAR" dataDxfId="5"/>
    <tableColumn id="3" name="MIÉ." dataDxfId="4"/>
    <tableColumn id="4" name="JUE" dataDxfId="3"/>
    <tableColumn id="5" name="VIE" dataDxfId="2"/>
    <tableColumn id="6" name="SÁB" dataDxfId="1"/>
    <tableColumn id="7" name="DOM" dataDxfId="0"/>
  </tableColumns>
  <tableStyleInfo showFirstColumn="0" showLastColumn="0" showRowStripes="0" showColumnStripes="0"/>
  <extLst>
    <ext xmlns:x14="http://schemas.microsoft.com/office/spreadsheetml/2009/9/main" uri="{504A1905-F514-4f6f-8877-14C23A59335A}">
      <x14:table altTextSummary="El calendario de enero en esta tabla se actualiza automáticamente con fechas y nombres de los días laborables"/>
    </ext>
  </extLst>
</table>
</file>

<file path=xl/tables/table2.xml><?xml version="1.0" encoding="utf-8"?>
<table xmlns="http://schemas.openxmlformats.org/spreadsheetml/2006/main" id="2" name="Octubre" displayName="Octubre" ref="K40:Q46" totalsRowShown="0" headerRowDxfId="98" dataDxfId="97">
  <autoFilter ref="K40:Q4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96"/>
    <tableColumn id="2" name="MAR" dataDxfId="95"/>
    <tableColumn id="3" name="MIÉ" dataDxfId="94"/>
    <tableColumn id="4" name="JUE" dataDxfId="93"/>
    <tableColumn id="5" name="VIE" dataDxfId="92"/>
    <tableColumn id="6" name="SÁB" dataDxfId="91"/>
    <tableColumn id="7" name="DOM" dataDxfId="90"/>
  </tableColumns>
  <tableStyleInfo showFirstColumn="0" showLastColumn="0" showRowStripes="0" showColumnStripes="0"/>
  <extLst>
    <ext xmlns:x14="http://schemas.microsoft.com/office/spreadsheetml/2009/9/main" uri="{504A1905-F514-4f6f-8877-14C23A59335A}">
      <x14:table altTextSummary="El calendario de octubre en esta tabla se actualiza automáticamente con fechas y nombres de los días laborables"/>
    </ext>
  </extLst>
</table>
</file>

<file path=xl/tables/table3.xml><?xml version="1.0" encoding="utf-8"?>
<table xmlns="http://schemas.openxmlformats.org/spreadsheetml/2006/main" id="3" name="Diciembre" displayName="Diciembre" ref="K49:Q55" totalsRowShown="0" headerRowDxfId="89" dataDxfId="88">
  <autoFilter ref="K49:Q5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87"/>
    <tableColumn id="2" name="MAR" dataDxfId="86"/>
    <tableColumn id="3" name="MIÉ" dataDxfId="85"/>
    <tableColumn id="4" name="JUE" dataDxfId="84"/>
    <tableColumn id="5" name="VIE" dataDxfId="83"/>
    <tableColumn id="6" name="SÁB" dataDxfId="82"/>
    <tableColumn id="7" name="DOM" dataDxfId="81"/>
  </tableColumns>
  <tableStyleInfo showFirstColumn="0" showLastColumn="0" showRowStripes="0" showColumnStripes="0"/>
  <extLst>
    <ext xmlns:x14="http://schemas.microsoft.com/office/spreadsheetml/2009/9/main" uri="{504A1905-F514-4f6f-8877-14C23A59335A}">
      <x14:table altTextSummary="El calendario de diciembre en esta tabla se actualiza automáticamente con fechas y nombres de los días laborables"/>
    </ext>
  </extLst>
</table>
</file>

<file path=xl/tables/table4.xml><?xml version="1.0" encoding="utf-8"?>
<table xmlns="http://schemas.openxmlformats.org/spreadsheetml/2006/main" id="4" name="Noviembre" displayName="Noviembre" ref="C49:I55" totalsRowShown="0" headerRowDxfId="80" dataDxfId="79">
  <autoFilter ref="C49:I5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78"/>
    <tableColumn id="2" name="MAR" dataDxfId="77"/>
    <tableColumn id="3" name="MIÉ" dataDxfId="76"/>
    <tableColumn id="4" name="JUE" dataDxfId="75"/>
    <tableColumn id="5" name="VIE" dataDxfId="74"/>
    <tableColumn id="6" name="SÁB" dataDxfId="73"/>
    <tableColumn id="7" name="DOM" dataDxfId="72"/>
  </tableColumns>
  <tableStyleInfo showFirstColumn="0" showLastColumn="0" showRowStripes="0" showColumnStripes="0"/>
  <extLst>
    <ext xmlns:x14="http://schemas.microsoft.com/office/spreadsheetml/2009/9/main" uri="{504A1905-F514-4f6f-8877-14C23A59335A}">
      <x14:table altTextSummary="El calendario de noviembre en esta tabla se actualiza automáticamente con fechas y nombres de los días laborables"/>
    </ext>
  </extLst>
</table>
</file>

<file path=xl/tables/table5.xml><?xml version="1.0" encoding="utf-8"?>
<table xmlns="http://schemas.openxmlformats.org/spreadsheetml/2006/main" id="5" name="Agosto" displayName="Agosto" ref="K31:Q37" totalsRowShown="0" headerRowDxfId="71" dataDxfId="70">
  <autoFilter ref="K31:Q3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69"/>
    <tableColumn id="2" name="MAR" dataDxfId="68"/>
    <tableColumn id="3" name="MIÉ" dataDxfId="67"/>
    <tableColumn id="4" name="JUE" dataDxfId="66"/>
    <tableColumn id="5" name="VIE" dataDxfId="65"/>
    <tableColumn id="6" name="SÁB" dataDxfId="64"/>
    <tableColumn id="7" name="DOM" dataDxfId="63"/>
  </tableColumns>
  <tableStyleInfo showFirstColumn="0" showLastColumn="0" showRowStripes="0" showColumnStripes="0"/>
  <extLst>
    <ext xmlns:x14="http://schemas.microsoft.com/office/spreadsheetml/2009/9/main" uri="{504A1905-F514-4f6f-8877-14C23A59335A}">
      <x14:table altTextSummary="El calendario de agosto en esta tabla se actualiza automáticamente con fechas y nombres de los días laborables"/>
    </ext>
  </extLst>
</table>
</file>

<file path=xl/tables/table6.xml><?xml version="1.0" encoding="utf-8"?>
<table xmlns="http://schemas.openxmlformats.org/spreadsheetml/2006/main" id="6" name="Julio" displayName="Julio" ref="C31:I37" totalsRowShown="0" headerRowDxfId="62" dataDxfId="61">
  <autoFilter ref="C31:I3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60"/>
    <tableColumn id="2" name="MAR" dataDxfId="59"/>
    <tableColumn id="3" name="MIÉ" dataDxfId="58"/>
    <tableColumn id="4" name="JUE" dataDxfId="57"/>
    <tableColumn id="5" name="VIE" dataDxfId="56"/>
    <tableColumn id="6" name="SÁB" dataDxfId="55"/>
    <tableColumn id="7" name="DOM" dataDxfId="54"/>
  </tableColumns>
  <tableStyleInfo showFirstColumn="0" showLastColumn="0" showRowStripes="0" showColumnStripes="0"/>
  <extLst>
    <ext xmlns:x14="http://schemas.microsoft.com/office/spreadsheetml/2009/9/main" uri="{504A1905-F514-4f6f-8877-14C23A59335A}">
      <x14:table altTextSummary="El calendario de julio en esta tabla se actualiza automáticamente con fechas y nombres de los días laborables"/>
    </ext>
  </extLst>
</table>
</file>

<file path=xl/tables/table7.xml><?xml version="1.0" encoding="utf-8"?>
<table xmlns="http://schemas.openxmlformats.org/spreadsheetml/2006/main" id="7" name="Junio" displayName="Junio" ref="K22:Q28" totalsRowShown="0" headerRowDxfId="53" dataDxfId="52">
  <autoFilter ref="K22:Q2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51"/>
    <tableColumn id="2" name="MAR" dataDxfId="50"/>
    <tableColumn id="3" name="MIÉ" dataDxfId="49"/>
    <tableColumn id="4" name="JUE" dataDxfId="48"/>
    <tableColumn id="5" name="VIE" dataDxfId="47"/>
    <tableColumn id="6" name="SÁB" dataDxfId="46"/>
    <tableColumn id="7" name="DOM" dataDxfId="45"/>
  </tableColumns>
  <tableStyleInfo showFirstColumn="0" showLastColumn="0" showRowStripes="0" showColumnStripes="0"/>
  <extLst>
    <ext xmlns:x14="http://schemas.microsoft.com/office/spreadsheetml/2009/9/main" uri="{504A1905-F514-4f6f-8877-14C23A59335A}">
      <x14:table altTextSummary="El calendario de junio en esta tabla se actualiza automáticamente con fechas y nombres de los días laborables"/>
    </ext>
  </extLst>
</table>
</file>

<file path=xl/tables/table8.xml><?xml version="1.0" encoding="utf-8"?>
<table xmlns="http://schemas.openxmlformats.org/spreadsheetml/2006/main" id="8" name="Mayo" displayName="Mayo" ref="C22:I28" totalsRowShown="0" headerRowDxfId="44" dataDxfId="43">
  <autoFilter ref="C22:I2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42"/>
    <tableColumn id="2" name="MAR" dataDxfId="41"/>
    <tableColumn id="3" name="MIÉ" dataDxfId="40"/>
    <tableColumn id="4" name="JUE" dataDxfId="39"/>
    <tableColumn id="5" name="VIE" dataDxfId="38"/>
    <tableColumn id="6" name="SÁB" dataDxfId="37"/>
    <tableColumn id="7" name="DOM" dataDxfId="36"/>
  </tableColumns>
  <tableStyleInfo showFirstColumn="0" showLastColumn="0" showRowStripes="0" showColumnStripes="0"/>
  <extLst>
    <ext xmlns:x14="http://schemas.microsoft.com/office/spreadsheetml/2009/9/main" uri="{504A1905-F514-4f6f-8877-14C23A59335A}">
      <x14:table altTextSummary="El calendario de mayo en esta tabla se actualiza automáticamente con fechas y nombres de los días laborables"/>
    </ext>
  </extLst>
</table>
</file>

<file path=xl/tables/table9.xml><?xml version="1.0" encoding="utf-8"?>
<table xmlns="http://schemas.openxmlformats.org/spreadsheetml/2006/main" id="9" name="Marzo" displayName="Marzo" ref="C13:I19" totalsRowShown="0" headerRowDxfId="35" dataDxfId="34">
  <autoFilter ref="C13:I1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LUN" dataDxfId="33"/>
    <tableColumn id="2" name="MAR" dataDxfId="32"/>
    <tableColumn id="3" name="MIÉ" dataDxfId="31"/>
    <tableColumn id="4" name="JUE" dataDxfId="30"/>
    <tableColumn id="5" name="VIE" dataDxfId="29"/>
    <tableColumn id="6" name="SÁB" dataDxfId="28"/>
    <tableColumn id="7" name="DOM" dataDxfId="27"/>
  </tableColumns>
  <tableStyleInfo showFirstColumn="0" showLastColumn="0" showRowStripes="0" showColumnStripes="0"/>
  <extLst>
    <ext xmlns:x14="http://schemas.microsoft.com/office/spreadsheetml/2009/9/main" uri="{504A1905-F514-4f6f-8877-14C23A59335A}">
      <x14:table altTextSummary="El calendario de marzo en esta tabla se actualiza automáticamente con fechas y nombres de los días laborables"/>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vmlDrawing" Target="../drawings/vmlDrawing1.vml"/><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drawing" Target="../drawings/drawing1.xml"/><Relationship Id="rId16" Type="http://schemas.openxmlformats.org/officeDocument/2006/relationships/table" Target="../tables/table12.xml"/><Relationship Id="rId1" Type="http://schemas.openxmlformats.org/officeDocument/2006/relationships/printerSettings" Target="../printerSettings/printerSettings1.bin"/><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4" Type="http://schemas.openxmlformats.org/officeDocument/2006/relationships/ctrlProp" Target="../ctrlProps/ctrlProp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tabSelected="1" topLeftCell="A2" workbookViewId="0">
      <selection activeCell="A8" sqref="A8"/>
    </sheetView>
  </sheetViews>
  <sheetFormatPr baseColWidth="10" defaultRowHeight="15" x14ac:dyDescent="0.25"/>
  <cols>
    <col min="1" max="1" width="43.42578125" bestFit="1" customWidth="1"/>
    <col min="2" max="2" width="8" bestFit="1" customWidth="1"/>
    <col min="3" max="3" width="33.5703125" bestFit="1" customWidth="1"/>
    <col min="4" max="4" width="31.7109375" bestFit="1" customWidth="1"/>
    <col min="5" max="5" width="33" bestFit="1" customWidth="1"/>
    <col min="6" max="6" width="31" bestFit="1" customWidth="1"/>
    <col min="7" max="7" width="30.28515625" bestFit="1" customWidth="1"/>
    <col min="8" max="8" width="42.140625" bestFit="1" customWidth="1"/>
    <col min="9" max="9" width="30.140625" bestFit="1" customWidth="1"/>
    <col min="10" max="10" width="33.5703125" bestFit="1" customWidth="1"/>
    <col min="11" max="11" width="40.42578125" bestFit="1" customWidth="1"/>
    <col min="12" max="12" width="34.85546875" bestFit="1" customWidth="1"/>
    <col min="13" max="13" width="17.5703125" bestFit="1" customWidth="1"/>
    <col min="14" max="14" width="20.140625" bestFit="1" customWidth="1"/>
    <col min="15" max="15" width="8" bestFit="1" customWidth="1"/>
  </cols>
  <sheetData>
    <row r="1" spans="1:15" hidden="1" x14ac:dyDescent="0.25">
      <c r="A1" s="66" t="s">
        <v>0</v>
      </c>
      <c r="B1" s="66"/>
      <c r="C1" s="66"/>
      <c r="D1" s="66"/>
      <c r="E1" s="66"/>
      <c r="F1" s="66"/>
      <c r="G1" s="66"/>
      <c r="H1" s="66"/>
      <c r="I1" s="66"/>
      <c r="J1" s="66"/>
      <c r="K1" s="66"/>
      <c r="L1" s="66"/>
      <c r="M1" s="66"/>
      <c r="N1" s="66"/>
      <c r="O1" s="66"/>
    </row>
    <row r="2" spans="1:15" x14ac:dyDescent="0.25">
      <c r="A2" s="79" t="s">
        <v>1</v>
      </c>
      <c r="B2" s="80"/>
      <c r="C2" s="80"/>
      <c r="D2" s="79" t="s">
        <v>2</v>
      </c>
      <c r="E2" s="80"/>
      <c r="F2" s="80"/>
      <c r="G2" s="79" t="s">
        <v>3</v>
      </c>
      <c r="H2" s="80"/>
      <c r="I2" s="80"/>
      <c r="J2" s="66"/>
      <c r="K2" s="66"/>
      <c r="L2" s="66"/>
      <c r="M2" s="66"/>
      <c r="N2" s="66"/>
      <c r="O2" s="66"/>
    </row>
    <row r="3" spans="1:15" x14ac:dyDescent="0.25">
      <c r="A3" s="81" t="s">
        <v>4</v>
      </c>
      <c r="B3" s="80"/>
      <c r="C3" s="80"/>
      <c r="D3" s="81" t="s">
        <v>5</v>
      </c>
      <c r="E3" s="80"/>
      <c r="F3" s="80"/>
      <c r="G3" s="81" t="s">
        <v>6</v>
      </c>
      <c r="H3" s="80"/>
      <c r="I3" s="80"/>
      <c r="J3" s="66"/>
      <c r="K3" s="66"/>
      <c r="L3" s="66"/>
      <c r="M3" s="66"/>
      <c r="N3" s="66"/>
      <c r="O3" s="66"/>
    </row>
    <row r="4" spans="1:15" hidden="1" x14ac:dyDescent="0.25">
      <c r="A4" s="66" t="s">
        <v>7</v>
      </c>
      <c r="B4" s="66" t="s">
        <v>8</v>
      </c>
      <c r="C4" s="66" t="s">
        <v>8</v>
      </c>
      <c r="D4" s="66" t="s">
        <v>9</v>
      </c>
      <c r="E4" s="66" t="s">
        <v>7</v>
      </c>
      <c r="F4" s="66" t="s">
        <v>9</v>
      </c>
      <c r="G4" s="66" t="s">
        <v>9</v>
      </c>
      <c r="H4" s="66" t="s">
        <v>7</v>
      </c>
      <c r="I4" s="66" t="s">
        <v>7</v>
      </c>
      <c r="J4" s="66" t="s">
        <v>7</v>
      </c>
      <c r="K4" s="66" t="s">
        <v>9</v>
      </c>
      <c r="L4" s="66" t="s">
        <v>9</v>
      </c>
      <c r="M4" s="66" t="s">
        <v>10</v>
      </c>
      <c r="N4" s="66" t="s">
        <v>11</v>
      </c>
      <c r="O4" s="66" t="s">
        <v>12</v>
      </c>
    </row>
    <row r="5" spans="1:15" hidden="1" x14ac:dyDescent="0.25">
      <c r="A5" s="66" t="s">
        <v>13</v>
      </c>
      <c r="B5" s="66" t="s">
        <v>14</v>
      </c>
      <c r="C5" s="66" t="s">
        <v>15</v>
      </c>
      <c r="D5" s="66" t="s">
        <v>16</v>
      </c>
      <c r="E5" s="66" t="s">
        <v>17</v>
      </c>
      <c r="F5" s="66" t="s">
        <v>18</v>
      </c>
      <c r="G5" s="66" t="s">
        <v>19</v>
      </c>
      <c r="H5" s="66" t="s">
        <v>20</v>
      </c>
      <c r="I5" s="66" t="s">
        <v>21</v>
      </c>
      <c r="J5" s="66" t="s">
        <v>22</v>
      </c>
      <c r="K5" s="66" t="s">
        <v>23</v>
      </c>
      <c r="L5" s="66" t="s">
        <v>24</v>
      </c>
      <c r="M5" s="66" t="s">
        <v>25</v>
      </c>
      <c r="N5" s="66" t="s">
        <v>26</v>
      </c>
      <c r="O5" s="66" t="s">
        <v>27</v>
      </c>
    </row>
    <row r="6" spans="1:15" x14ac:dyDescent="0.25">
      <c r="A6" s="79" t="s">
        <v>28</v>
      </c>
      <c r="B6" s="80"/>
      <c r="C6" s="80"/>
      <c r="D6" s="80"/>
      <c r="E6" s="80"/>
      <c r="F6" s="80"/>
      <c r="G6" s="80"/>
      <c r="H6" s="80"/>
      <c r="I6" s="80"/>
      <c r="J6" s="80"/>
      <c r="K6" s="80"/>
      <c r="L6" s="80"/>
      <c r="M6" s="80"/>
      <c r="N6" s="80"/>
      <c r="O6" s="80"/>
    </row>
    <row r="7" spans="1:15" x14ac:dyDescent="0.25">
      <c r="A7" s="67" t="s">
        <v>29</v>
      </c>
      <c r="B7" s="67" t="s">
        <v>30</v>
      </c>
      <c r="C7" s="67" t="s">
        <v>31</v>
      </c>
      <c r="D7" s="67" t="s">
        <v>32</v>
      </c>
      <c r="E7" s="67" t="s">
        <v>33</v>
      </c>
      <c r="F7" s="67" t="s">
        <v>34</v>
      </c>
      <c r="G7" s="67" t="s">
        <v>35</v>
      </c>
      <c r="H7" s="67" t="s">
        <v>36</v>
      </c>
      <c r="I7" s="67" t="s">
        <v>37</v>
      </c>
      <c r="J7" s="67" t="s">
        <v>38</v>
      </c>
      <c r="K7" s="67" t="s">
        <v>39</v>
      </c>
      <c r="L7" s="67" t="s">
        <v>40</v>
      </c>
      <c r="M7" s="67" t="s">
        <v>41</v>
      </c>
      <c r="N7" s="67" t="s">
        <v>42</v>
      </c>
      <c r="O7" s="67" t="s">
        <v>43</v>
      </c>
    </row>
    <row r="8" spans="1:15" x14ac:dyDescent="0.25">
      <c r="A8" s="63" t="s">
        <v>265</v>
      </c>
      <c r="B8" s="66">
        <v>2024</v>
      </c>
      <c r="C8" s="68">
        <v>121</v>
      </c>
      <c r="D8" s="64" t="s">
        <v>44</v>
      </c>
      <c r="E8" s="77" t="s">
        <v>262</v>
      </c>
      <c r="F8" s="72" t="s">
        <v>171</v>
      </c>
      <c r="G8" s="71" t="s">
        <v>172</v>
      </c>
      <c r="H8" s="72" t="s">
        <v>173</v>
      </c>
      <c r="I8" s="74" t="s">
        <v>45</v>
      </c>
      <c r="J8" s="75">
        <v>45382</v>
      </c>
      <c r="K8" s="76" t="s">
        <v>259</v>
      </c>
      <c r="L8" s="76" t="s">
        <v>259</v>
      </c>
      <c r="M8" s="75">
        <v>45382</v>
      </c>
      <c r="N8" s="75">
        <v>45382</v>
      </c>
      <c r="O8" s="69"/>
    </row>
    <row r="9" spans="1:15" x14ac:dyDescent="0.25">
      <c r="A9" s="63" t="s">
        <v>265</v>
      </c>
      <c r="B9" s="66">
        <v>2024</v>
      </c>
      <c r="C9" s="65">
        <v>121</v>
      </c>
      <c r="D9" s="65" t="s">
        <v>44</v>
      </c>
      <c r="E9" s="65" t="s">
        <v>111</v>
      </c>
      <c r="F9" s="71" t="s">
        <v>174</v>
      </c>
      <c r="G9" s="71" t="s">
        <v>172</v>
      </c>
      <c r="H9" s="71" t="s">
        <v>175</v>
      </c>
      <c r="I9" s="74" t="s">
        <v>45</v>
      </c>
      <c r="J9" s="75">
        <v>45382</v>
      </c>
      <c r="K9" s="78" t="s">
        <v>260</v>
      </c>
      <c r="L9" s="76" t="s">
        <v>259</v>
      </c>
      <c r="M9" s="75">
        <v>45382</v>
      </c>
      <c r="N9" s="75">
        <v>45382</v>
      </c>
      <c r="O9" s="70"/>
    </row>
    <row r="10" spans="1:15" x14ac:dyDescent="0.25">
      <c r="A10" s="63" t="s">
        <v>265</v>
      </c>
      <c r="B10" s="66">
        <v>2024</v>
      </c>
      <c r="C10" s="65">
        <v>121</v>
      </c>
      <c r="D10" s="65" t="s">
        <v>44</v>
      </c>
      <c r="E10" s="65" t="s">
        <v>112</v>
      </c>
      <c r="F10" s="71" t="s">
        <v>176</v>
      </c>
      <c r="G10" s="71" t="s">
        <v>172</v>
      </c>
      <c r="H10" s="71" t="s">
        <v>175</v>
      </c>
      <c r="I10" s="74" t="s">
        <v>45</v>
      </c>
      <c r="J10" s="75">
        <v>45382</v>
      </c>
      <c r="K10" s="76" t="s">
        <v>259</v>
      </c>
      <c r="L10" s="76" t="s">
        <v>259</v>
      </c>
      <c r="M10" s="75">
        <v>45382</v>
      </c>
      <c r="N10" s="75">
        <v>45382</v>
      </c>
      <c r="O10" s="62"/>
    </row>
    <row r="11" spans="1:15" x14ac:dyDescent="0.25">
      <c r="A11" s="63" t="s">
        <v>265</v>
      </c>
      <c r="B11" s="66">
        <v>2024</v>
      </c>
      <c r="C11" s="65">
        <v>121</v>
      </c>
      <c r="D11" s="65" t="s">
        <v>44</v>
      </c>
      <c r="E11" s="65" t="s">
        <v>113</v>
      </c>
      <c r="F11" s="71" t="s">
        <v>177</v>
      </c>
      <c r="G11" s="71" t="s">
        <v>172</v>
      </c>
      <c r="H11" s="71" t="s">
        <v>175</v>
      </c>
      <c r="I11" s="74" t="s">
        <v>45</v>
      </c>
      <c r="J11" s="75">
        <v>45382</v>
      </c>
      <c r="K11" s="76" t="s">
        <v>259</v>
      </c>
      <c r="L11" s="76" t="s">
        <v>259</v>
      </c>
      <c r="M11" s="75">
        <v>45382</v>
      </c>
      <c r="N11" s="75">
        <v>45382</v>
      </c>
      <c r="O11" s="66"/>
    </row>
    <row r="12" spans="1:15" x14ac:dyDescent="0.25">
      <c r="A12" s="63" t="s">
        <v>265</v>
      </c>
      <c r="B12" s="66">
        <v>2024</v>
      </c>
      <c r="C12" s="65">
        <v>121</v>
      </c>
      <c r="D12" s="65" t="s">
        <v>44</v>
      </c>
      <c r="E12" s="65" t="s">
        <v>114</v>
      </c>
      <c r="F12" s="71" t="s">
        <v>178</v>
      </c>
      <c r="G12" s="71" t="s">
        <v>172</v>
      </c>
      <c r="H12" s="71" t="s">
        <v>175</v>
      </c>
      <c r="I12" s="74" t="s">
        <v>45</v>
      </c>
      <c r="J12" s="75">
        <v>45382</v>
      </c>
      <c r="K12" s="78" t="s">
        <v>263</v>
      </c>
      <c r="L12" s="76" t="s">
        <v>259</v>
      </c>
      <c r="M12" s="75">
        <v>45382</v>
      </c>
      <c r="N12" s="75">
        <v>45382</v>
      </c>
      <c r="O12" s="66"/>
    </row>
    <row r="13" spans="1:15" x14ac:dyDescent="0.25">
      <c r="A13" s="63" t="s">
        <v>265</v>
      </c>
      <c r="B13" s="66">
        <v>2024</v>
      </c>
      <c r="C13" s="65">
        <v>121</v>
      </c>
      <c r="D13" s="65" t="s">
        <v>44</v>
      </c>
      <c r="E13" s="65" t="s">
        <v>115</v>
      </c>
      <c r="F13" s="71" t="s">
        <v>179</v>
      </c>
      <c r="G13" s="71" t="s">
        <v>172</v>
      </c>
      <c r="H13" s="71" t="s">
        <v>175</v>
      </c>
      <c r="I13" s="74" t="s">
        <v>45</v>
      </c>
      <c r="J13" s="75">
        <v>45382</v>
      </c>
      <c r="K13" s="78" t="s">
        <v>110</v>
      </c>
      <c r="L13" s="76" t="s">
        <v>259</v>
      </c>
      <c r="M13" s="75">
        <v>45382</v>
      </c>
      <c r="N13" s="75">
        <v>45382</v>
      </c>
      <c r="O13" s="66"/>
    </row>
    <row r="14" spans="1:15" x14ac:dyDescent="0.25">
      <c r="A14" s="63" t="s">
        <v>265</v>
      </c>
      <c r="B14" s="66">
        <v>2024</v>
      </c>
      <c r="C14" s="65">
        <v>121</v>
      </c>
      <c r="D14" s="65" t="s">
        <v>44</v>
      </c>
      <c r="E14" s="65" t="s">
        <v>116</v>
      </c>
      <c r="F14" s="71" t="s">
        <v>180</v>
      </c>
      <c r="G14" s="71" t="s">
        <v>172</v>
      </c>
      <c r="H14" s="71" t="s">
        <v>175</v>
      </c>
      <c r="I14" s="74" t="s">
        <v>45</v>
      </c>
      <c r="J14" s="75">
        <v>45382</v>
      </c>
      <c r="K14" s="78" t="s">
        <v>110</v>
      </c>
      <c r="L14" s="76" t="s">
        <v>259</v>
      </c>
      <c r="M14" s="75">
        <v>45382</v>
      </c>
      <c r="N14" s="75">
        <v>45382</v>
      </c>
      <c r="O14" s="66"/>
    </row>
    <row r="15" spans="1:15" x14ac:dyDescent="0.25">
      <c r="A15" s="63" t="s">
        <v>265</v>
      </c>
      <c r="B15" s="66">
        <v>2024</v>
      </c>
      <c r="C15" s="65">
        <v>121</v>
      </c>
      <c r="D15" s="65" t="s">
        <v>44</v>
      </c>
      <c r="E15" s="65" t="s">
        <v>117</v>
      </c>
      <c r="F15" s="71" t="s">
        <v>181</v>
      </c>
      <c r="G15" s="71" t="s">
        <v>172</v>
      </c>
      <c r="H15" s="71" t="s">
        <v>175</v>
      </c>
      <c r="I15" s="74" t="s">
        <v>45</v>
      </c>
      <c r="J15" s="75">
        <v>45382</v>
      </c>
      <c r="K15" s="78" t="s">
        <v>110</v>
      </c>
      <c r="L15" s="76" t="s">
        <v>259</v>
      </c>
      <c r="M15" s="75">
        <v>45382</v>
      </c>
      <c r="N15" s="75">
        <v>45382</v>
      </c>
      <c r="O15" s="66"/>
    </row>
    <row r="16" spans="1:15" x14ac:dyDescent="0.25">
      <c r="A16" s="63" t="s">
        <v>265</v>
      </c>
      <c r="B16" s="66">
        <v>2024</v>
      </c>
      <c r="C16" s="65">
        <v>121</v>
      </c>
      <c r="D16" s="65" t="s">
        <v>44</v>
      </c>
      <c r="E16" s="65" t="s">
        <v>118</v>
      </c>
      <c r="F16" s="71" t="s">
        <v>182</v>
      </c>
      <c r="G16" s="71" t="s">
        <v>172</v>
      </c>
      <c r="H16" s="71" t="s">
        <v>175</v>
      </c>
      <c r="I16" s="74" t="s">
        <v>45</v>
      </c>
      <c r="J16" s="75">
        <v>45382</v>
      </c>
      <c r="K16" s="76" t="s">
        <v>259</v>
      </c>
      <c r="L16" s="76" t="s">
        <v>259</v>
      </c>
      <c r="M16" s="75">
        <v>45382</v>
      </c>
      <c r="N16" s="75">
        <v>45382</v>
      </c>
      <c r="O16" s="66"/>
    </row>
    <row r="17" spans="1:15" x14ac:dyDescent="0.25">
      <c r="A17" s="63" t="s">
        <v>265</v>
      </c>
      <c r="B17" s="66">
        <v>2024</v>
      </c>
      <c r="C17" s="65">
        <v>121</v>
      </c>
      <c r="D17" s="65" t="s">
        <v>44</v>
      </c>
      <c r="E17" s="65" t="s">
        <v>119</v>
      </c>
      <c r="F17" s="71" t="s">
        <v>183</v>
      </c>
      <c r="G17" s="71" t="s">
        <v>184</v>
      </c>
      <c r="H17" s="71" t="s">
        <v>184</v>
      </c>
      <c r="I17" s="74" t="s">
        <v>45</v>
      </c>
      <c r="J17" s="75">
        <v>45382</v>
      </c>
      <c r="K17" s="76" t="s">
        <v>184</v>
      </c>
      <c r="L17" s="78" t="s">
        <v>264</v>
      </c>
      <c r="M17" s="75">
        <v>45382</v>
      </c>
      <c r="N17" s="75">
        <v>45382</v>
      </c>
      <c r="O17" s="66"/>
    </row>
    <row r="18" spans="1:15" x14ac:dyDescent="0.25">
      <c r="A18" s="63" t="s">
        <v>265</v>
      </c>
      <c r="B18" s="66">
        <v>2024</v>
      </c>
      <c r="C18" s="65">
        <v>121</v>
      </c>
      <c r="D18" s="65" t="s">
        <v>44</v>
      </c>
      <c r="E18" s="65" t="s">
        <v>120</v>
      </c>
      <c r="F18" s="71" t="s">
        <v>185</v>
      </c>
      <c r="G18" s="71" t="s">
        <v>184</v>
      </c>
      <c r="H18" s="71" t="s">
        <v>184</v>
      </c>
      <c r="I18" s="74" t="s">
        <v>45</v>
      </c>
      <c r="J18" s="75">
        <v>45382</v>
      </c>
      <c r="K18" s="76" t="s">
        <v>184</v>
      </c>
      <c r="L18" s="76" t="s">
        <v>184</v>
      </c>
      <c r="M18" s="75">
        <v>45382</v>
      </c>
      <c r="N18" s="75">
        <v>45382</v>
      </c>
      <c r="O18" s="66"/>
    </row>
    <row r="19" spans="1:15" x14ac:dyDescent="0.25">
      <c r="A19" s="63" t="s">
        <v>265</v>
      </c>
      <c r="B19" s="66">
        <v>2024</v>
      </c>
      <c r="C19" s="65">
        <v>121</v>
      </c>
      <c r="D19" s="65" t="s">
        <v>44</v>
      </c>
      <c r="E19" s="65" t="s">
        <v>121</v>
      </c>
      <c r="F19" s="71" t="s">
        <v>186</v>
      </c>
      <c r="G19" s="71" t="s">
        <v>184</v>
      </c>
      <c r="H19" s="71" t="s">
        <v>184</v>
      </c>
      <c r="I19" s="74" t="s">
        <v>45</v>
      </c>
      <c r="J19" s="75">
        <v>45382</v>
      </c>
      <c r="K19" s="76" t="s">
        <v>184</v>
      </c>
      <c r="L19" s="76" t="s">
        <v>184</v>
      </c>
      <c r="M19" s="75">
        <v>45382</v>
      </c>
      <c r="N19" s="75">
        <v>45382</v>
      </c>
      <c r="O19" s="66"/>
    </row>
    <row r="20" spans="1:15" x14ac:dyDescent="0.25">
      <c r="A20" s="63" t="s">
        <v>265</v>
      </c>
      <c r="B20" s="66">
        <v>2024</v>
      </c>
      <c r="C20" s="65">
        <v>121</v>
      </c>
      <c r="D20" s="65" t="s">
        <v>44</v>
      </c>
      <c r="E20" s="65" t="s">
        <v>122</v>
      </c>
      <c r="F20" s="71" t="s">
        <v>187</v>
      </c>
      <c r="G20" s="71" t="s">
        <v>184</v>
      </c>
      <c r="H20" s="71" t="s">
        <v>184</v>
      </c>
      <c r="I20" s="74" t="s">
        <v>45</v>
      </c>
      <c r="J20" s="75">
        <v>45382</v>
      </c>
      <c r="K20" s="76" t="s">
        <v>184</v>
      </c>
      <c r="L20" s="76" t="s">
        <v>184</v>
      </c>
      <c r="M20" s="75">
        <v>45382</v>
      </c>
      <c r="N20" s="75">
        <v>45382</v>
      </c>
      <c r="O20" s="66"/>
    </row>
    <row r="21" spans="1:15" x14ac:dyDescent="0.25">
      <c r="A21" s="63" t="s">
        <v>265</v>
      </c>
      <c r="B21" s="66">
        <v>2024</v>
      </c>
      <c r="C21" s="65">
        <v>121</v>
      </c>
      <c r="D21" s="65" t="s">
        <v>44</v>
      </c>
      <c r="E21" s="65" t="s">
        <v>123</v>
      </c>
      <c r="F21" s="71" t="s">
        <v>188</v>
      </c>
      <c r="G21" s="71" t="s">
        <v>172</v>
      </c>
      <c r="H21" s="71" t="s">
        <v>175</v>
      </c>
      <c r="I21" s="74" t="s">
        <v>45</v>
      </c>
      <c r="J21" s="75">
        <v>45382</v>
      </c>
      <c r="K21" s="76" t="s">
        <v>259</v>
      </c>
      <c r="L21" s="76" t="s">
        <v>259</v>
      </c>
      <c r="M21" s="75">
        <v>45382</v>
      </c>
      <c r="N21" s="75">
        <v>45382</v>
      </c>
      <c r="O21" s="66"/>
    </row>
    <row r="22" spans="1:15" x14ac:dyDescent="0.25">
      <c r="A22" s="63" t="s">
        <v>265</v>
      </c>
      <c r="B22" s="66">
        <v>2024</v>
      </c>
      <c r="C22" s="65">
        <v>121</v>
      </c>
      <c r="D22" s="65" t="s">
        <v>44</v>
      </c>
      <c r="E22" s="65" t="s">
        <v>124</v>
      </c>
      <c r="F22" s="71" t="s">
        <v>189</v>
      </c>
      <c r="G22" s="71" t="s">
        <v>172</v>
      </c>
      <c r="H22" s="71" t="s">
        <v>175</v>
      </c>
      <c r="I22" s="74" t="s">
        <v>45</v>
      </c>
      <c r="J22" s="75">
        <v>45382</v>
      </c>
      <c r="K22" s="76" t="s">
        <v>259</v>
      </c>
      <c r="L22" s="76" t="s">
        <v>259</v>
      </c>
      <c r="M22" s="75">
        <v>45382</v>
      </c>
      <c r="N22" s="75">
        <v>45382</v>
      </c>
      <c r="O22" s="66"/>
    </row>
    <row r="23" spans="1:15" x14ac:dyDescent="0.25">
      <c r="A23" s="63" t="s">
        <v>265</v>
      </c>
      <c r="B23" s="66">
        <v>2024</v>
      </c>
      <c r="C23" s="65">
        <v>121</v>
      </c>
      <c r="D23" s="65" t="s">
        <v>44</v>
      </c>
      <c r="E23" s="65" t="s">
        <v>125</v>
      </c>
      <c r="F23" s="71" t="s">
        <v>190</v>
      </c>
      <c r="G23" s="71" t="s">
        <v>184</v>
      </c>
      <c r="H23" s="71" t="s">
        <v>184</v>
      </c>
      <c r="I23" s="74" t="s">
        <v>45</v>
      </c>
      <c r="J23" s="75">
        <v>45382</v>
      </c>
      <c r="K23" s="76" t="s">
        <v>184</v>
      </c>
      <c r="L23" s="76" t="s">
        <v>184</v>
      </c>
      <c r="M23" s="75">
        <v>45382</v>
      </c>
      <c r="N23" s="75">
        <v>45382</v>
      </c>
      <c r="O23" s="66"/>
    </row>
    <row r="24" spans="1:15" x14ac:dyDescent="0.25">
      <c r="A24" s="63" t="s">
        <v>265</v>
      </c>
      <c r="B24" s="66">
        <v>2024</v>
      </c>
      <c r="C24" s="65">
        <v>121</v>
      </c>
      <c r="D24" s="65" t="s">
        <v>44</v>
      </c>
      <c r="E24" s="65" t="s">
        <v>126</v>
      </c>
      <c r="F24" s="71" t="s">
        <v>191</v>
      </c>
      <c r="G24" s="71" t="s">
        <v>184</v>
      </c>
      <c r="H24" s="71" t="s">
        <v>184</v>
      </c>
      <c r="I24" s="74" t="s">
        <v>45</v>
      </c>
      <c r="J24" s="75">
        <v>45382</v>
      </c>
      <c r="K24" s="76" t="s">
        <v>184</v>
      </c>
      <c r="L24" s="76" t="s">
        <v>184</v>
      </c>
      <c r="M24" s="75">
        <v>45382</v>
      </c>
      <c r="N24" s="75">
        <v>45382</v>
      </c>
      <c r="O24" s="66"/>
    </row>
    <row r="25" spans="1:15" x14ac:dyDescent="0.25">
      <c r="A25" s="63" t="s">
        <v>265</v>
      </c>
      <c r="B25" s="66">
        <v>2024</v>
      </c>
      <c r="C25" s="65">
        <v>121</v>
      </c>
      <c r="D25" s="65" t="s">
        <v>44</v>
      </c>
      <c r="E25" s="65" t="s">
        <v>127</v>
      </c>
      <c r="F25" s="71" t="s">
        <v>192</v>
      </c>
      <c r="G25" s="71" t="s">
        <v>184</v>
      </c>
      <c r="H25" s="71" t="s">
        <v>184</v>
      </c>
      <c r="I25" s="74" t="s">
        <v>45</v>
      </c>
      <c r="J25" s="75">
        <v>45382</v>
      </c>
      <c r="K25" s="76" t="s">
        <v>184</v>
      </c>
      <c r="L25" s="76" t="s">
        <v>184</v>
      </c>
      <c r="M25" s="75">
        <v>45382</v>
      </c>
      <c r="N25" s="75">
        <v>45382</v>
      </c>
      <c r="O25" s="66"/>
    </row>
    <row r="26" spans="1:15" x14ac:dyDescent="0.25">
      <c r="A26" s="63" t="s">
        <v>265</v>
      </c>
      <c r="B26" s="66">
        <v>2024</v>
      </c>
      <c r="C26" s="65">
        <v>121</v>
      </c>
      <c r="D26" s="65" t="s">
        <v>44</v>
      </c>
      <c r="E26" s="65" t="s">
        <v>128</v>
      </c>
      <c r="F26" s="71" t="s">
        <v>193</v>
      </c>
      <c r="G26" s="71" t="s">
        <v>172</v>
      </c>
      <c r="H26" s="71" t="s">
        <v>175</v>
      </c>
      <c r="I26" s="74" t="s">
        <v>45</v>
      </c>
      <c r="J26" s="75">
        <v>45382</v>
      </c>
      <c r="K26" s="76" t="s">
        <v>259</v>
      </c>
      <c r="L26" s="76" t="s">
        <v>259</v>
      </c>
      <c r="M26" s="75">
        <v>45382</v>
      </c>
      <c r="N26" s="75">
        <v>45382</v>
      </c>
      <c r="O26" s="66"/>
    </row>
    <row r="27" spans="1:15" x14ac:dyDescent="0.25">
      <c r="A27" s="63" t="s">
        <v>265</v>
      </c>
      <c r="B27" s="66">
        <v>2024</v>
      </c>
      <c r="C27" s="65">
        <v>121</v>
      </c>
      <c r="D27" s="65" t="s">
        <v>44</v>
      </c>
      <c r="E27" s="65" t="s">
        <v>129</v>
      </c>
      <c r="F27" s="71" t="s">
        <v>194</v>
      </c>
      <c r="G27" s="71" t="s">
        <v>172</v>
      </c>
      <c r="H27" s="71" t="s">
        <v>175</v>
      </c>
      <c r="I27" s="74" t="s">
        <v>45</v>
      </c>
      <c r="J27" s="75">
        <v>45382</v>
      </c>
      <c r="K27" s="76" t="s">
        <v>259</v>
      </c>
      <c r="L27" s="76" t="s">
        <v>259</v>
      </c>
      <c r="M27" s="75">
        <v>45382</v>
      </c>
      <c r="N27" s="75">
        <v>45382</v>
      </c>
      <c r="O27" s="66"/>
    </row>
    <row r="28" spans="1:15" x14ac:dyDescent="0.25">
      <c r="A28" s="63" t="s">
        <v>265</v>
      </c>
      <c r="B28" s="66">
        <v>2024</v>
      </c>
      <c r="C28" s="65">
        <v>121</v>
      </c>
      <c r="D28" s="65" t="s">
        <v>44</v>
      </c>
      <c r="E28" s="65" t="s">
        <v>130</v>
      </c>
      <c r="F28" s="71" t="s">
        <v>195</v>
      </c>
      <c r="G28" s="71" t="s">
        <v>184</v>
      </c>
      <c r="H28" s="71" t="s">
        <v>184</v>
      </c>
      <c r="I28" s="74" t="s">
        <v>45</v>
      </c>
      <c r="J28" s="75">
        <v>45382</v>
      </c>
      <c r="K28" s="76" t="s">
        <v>184</v>
      </c>
      <c r="L28" s="76" t="s">
        <v>184</v>
      </c>
      <c r="M28" s="75">
        <v>45382</v>
      </c>
      <c r="N28" s="75">
        <v>45382</v>
      </c>
      <c r="O28" s="66"/>
    </row>
    <row r="29" spans="1:15" x14ac:dyDescent="0.25">
      <c r="A29" s="63" t="s">
        <v>265</v>
      </c>
      <c r="B29" s="66">
        <v>2024</v>
      </c>
      <c r="C29" s="65">
        <v>121</v>
      </c>
      <c r="D29" s="65" t="s">
        <v>44</v>
      </c>
      <c r="E29" s="65" t="s">
        <v>131</v>
      </c>
      <c r="F29" s="71" t="s">
        <v>196</v>
      </c>
      <c r="G29" s="71" t="s">
        <v>184</v>
      </c>
      <c r="H29" s="71" t="s">
        <v>184</v>
      </c>
      <c r="I29" s="74" t="s">
        <v>45</v>
      </c>
      <c r="J29" s="75">
        <v>45382</v>
      </c>
      <c r="K29" s="71" t="s">
        <v>184</v>
      </c>
      <c r="L29" s="71" t="s">
        <v>184</v>
      </c>
      <c r="M29" s="75">
        <v>45382</v>
      </c>
      <c r="N29" s="75">
        <v>45382</v>
      </c>
      <c r="O29" s="66"/>
    </row>
    <row r="30" spans="1:15" x14ac:dyDescent="0.25">
      <c r="A30" s="63" t="s">
        <v>265</v>
      </c>
      <c r="B30" s="66">
        <v>2024</v>
      </c>
      <c r="C30" s="65">
        <v>121</v>
      </c>
      <c r="D30" s="65" t="s">
        <v>44</v>
      </c>
      <c r="E30" s="65" t="s">
        <v>132</v>
      </c>
      <c r="F30" s="71" t="s">
        <v>197</v>
      </c>
      <c r="G30" s="71" t="s">
        <v>184</v>
      </c>
      <c r="H30" s="71" t="s">
        <v>184</v>
      </c>
      <c r="I30" s="74" t="s">
        <v>45</v>
      </c>
      <c r="J30" s="75">
        <v>45382</v>
      </c>
      <c r="K30" s="76" t="s">
        <v>184</v>
      </c>
      <c r="L30" s="76" t="s">
        <v>184</v>
      </c>
      <c r="M30" s="75">
        <v>45382</v>
      </c>
      <c r="N30" s="75">
        <v>45382</v>
      </c>
      <c r="O30" s="66"/>
    </row>
    <row r="31" spans="1:15" x14ac:dyDescent="0.25">
      <c r="A31" s="63" t="s">
        <v>265</v>
      </c>
      <c r="B31" s="66">
        <v>2024</v>
      </c>
      <c r="C31" s="65">
        <v>121</v>
      </c>
      <c r="D31" s="65" t="s">
        <v>44</v>
      </c>
      <c r="E31" s="65" t="s">
        <v>133</v>
      </c>
      <c r="F31" s="71" t="s">
        <v>198</v>
      </c>
      <c r="G31" s="71" t="s">
        <v>184</v>
      </c>
      <c r="H31" s="71" t="s">
        <v>184</v>
      </c>
      <c r="I31" s="74" t="s">
        <v>45</v>
      </c>
      <c r="J31" s="75">
        <v>45382</v>
      </c>
      <c r="K31" s="76" t="s">
        <v>184</v>
      </c>
      <c r="L31" s="76" t="s">
        <v>184</v>
      </c>
      <c r="M31" s="75">
        <v>45382</v>
      </c>
      <c r="N31" s="75">
        <v>45382</v>
      </c>
      <c r="O31" s="66"/>
    </row>
    <row r="32" spans="1:15" x14ac:dyDescent="0.25">
      <c r="A32" s="63" t="s">
        <v>265</v>
      </c>
      <c r="B32" s="66">
        <v>2024</v>
      </c>
      <c r="C32" s="65">
        <v>121</v>
      </c>
      <c r="D32" s="65" t="s">
        <v>44</v>
      </c>
      <c r="E32" s="65" t="s">
        <v>134</v>
      </c>
      <c r="F32" s="71" t="s">
        <v>199</v>
      </c>
      <c r="G32" s="71" t="s">
        <v>184</v>
      </c>
      <c r="H32" s="71" t="s">
        <v>184</v>
      </c>
      <c r="I32" s="74" t="s">
        <v>45</v>
      </c>
      <c r="J32" s="75">
        <v>45382</v>
      </c>
      <c r="K32" s="71" t="s">
        <v>184</v>
      </c>
      <c r="L32" s="71" t="s">
        <v>184</v>
      </c>
      <c r="M32" s="75">
        <v>45382</v>
      </c>
      <c r="N32" s="75">
        <v>45382</v>
      </c>
      <c r="O32" s="66"/>
    </row>
    <row r="33" spans="1:15" x14ac:dyDescent="0.25">
      <c r="A33" s="63" t="s">
        <v>265</v>
      </c>
      <c r="B33" s="66">
        <v>2024</v>
      </c>
      <c r="C33" s="65">
        <v>121</v>
      </c>
      <c r="D33" s="65" t="s">
        <v>44</v>
      </c>
      <c r="E33" s="65" t="s">
        <v>135</v>
      </c>
      <c r="F33" s="71" t="s">
        <v>200</v>
      </c>
      <c r="G33" s="71" t="s">
        <v>184</v>
      </c>
      <c r="H33" s="71" t="s">
        <v>184</v>
      </c>
      <c r="I33" s="74" t="s">
        <v>45</v>
      </c>
      <c r="J33" s="75">
        <v>45382</v>
      </c>
      <c r="K33" s="76" t="s">
        <v>184</v>
      </c>
      <c r="L33" s="71" t="s">
        <v>184</v>
      </c>
      <c r="M33" s="75">
        <v>45382</v>
      </c>
      <c r="N33" s="75">
        <v>45382</v>
      </c>
      <c r="O33" s="66"/>
    </row>
    <row r="34" spans="1:15" x14ac:dyDescent="0.25">
      <c r="A34" s="63" t="s">
        <v>265</v>
      </c>
      <c r="B34" s="66">
        <v>2024</v>
      </c>
      <c r="C34" s="65">
        <v>121</v>
      </c>
      <c r="D34" s="65" t="s">
        <v>44</v>
      </c>
      <c r="E34" s="65" t="s">
        <v>136</v>
      </c>
      <c r="F34" s="71" t="s">
        <v>201</v>
      </c>
      <c r="G34" s="71" t="s">
        <v>172</v>
      </c>
      <c r="H34" s="71" t="s">
        <v>175</v>
      </c>
      <c r="I34" s="74" t="s">
        <v>45</v>
      </c>
      <c r="J34" s="75">
        <v>45382</v>
      </c>
      <c r="K34" s="78" t="s">
        <v>261</v>
      </c>
      <c r="L34" s="76" t="s">
        <v>259</v>
      </c>
      <c r="M34" s="75">
        <v>45382</v>
      </c>
      <c r="N34" s="75">
        <v>45382</v>
      </c>
      <c r="O34" s="66"/>
    </row>
    <row r="35" spans="1:15" x14ac:dyDescent="0.25">
      <c r="A35" s="63" t="s">
        <v>265</v>
      </c>
      <c r="B35" s="66">
        <v>2024</v>
      </c>
      <c r="C35" s="65">
        <v>121</v>
      </c>
      <c r="D35" s="65" t="s">
        <v>44</v>
      </c>
      <c r="E35" s="65" t="s">
        <v>137</v>
      </c>
      <c r="F35" s="71" t="s">
        <v>202</v>
      </c>
      <c r="G35" s="71" t="s">
        <v>184</v>
      </c>
      <c r="H35" s="71" t="s">
        <v>184</v>
      </c>
      <c r="I35" s="74" t="s">
        <v>45</v>
      </c>
      <c r="J35" s="75">
        <v>45382</v>
      </c>
      <c r="K35" s="76" t="s">
        <v>184</v>
      </c>
      <c r="L35" s="71" t="s">
        <v>184</v>
      </c>
      <c r="M35" s="75">
        <v>45382</v>
      </c>
      <c r="N35" s="75">
        <v>45382</v>
      </c>
      <c r="O35" s="66"/>
    </row>
    <row r="36" spans="1:15" x14ac:dyDescent="0.25">
      <c r="A36" s="63" t="s">
        <v>265</v>
      </c>
      <c r="B36" s="66">
        <v>2024</v>
      </c>
      <c r="C36" s="65">
        <v>121</v>
      </c>
      <c r="D36" s="65" t="s">
        <v>44</v>
      </c>
      <c r="E36" s="65" t="s">
        <v>138</v>
      </c>
      <c r="F36" s="71" t="s">
        <v>203</v>
      </c>
      <c r="G36" s="71" t="s">
        <v>172</v>
      </c>
      <c r="H36" s="71" t="s">
        <v>175</v>
      </c>
      <c r="I36" s="74" t="s">
        <v>45</v>
      </c>
      <c r="J36" s="75">
        <v>45382</v>
      </c>
      <c r="K36" s="78" t="s">
        <v>110</v>
      </c>
      <c r="L36" s="76" t="s">
        <v>259</v>
      </c>
      <c r="M36" s="75">
        <v>45382</v>
      </c>
      <c r="N36" s="75">
        <v>45382</v>
      </c>
      <c r="O36" s="66"/>
    </row>
    <row r="37" spans="1:15" x14ac:dyDescent="0.25">
      <c r="A37" s="63" t="s">
        <v>265</v>
      </c>
      <c r="B37" s="66">
        <v>2024</v>
      </c>
      <c r="C37" s="65">
        <v>121</v>
      </c>
      <c r="D37" s="65" t="s">
        <v>44</v>
      </c>
      <c r="E37" s="65" t="s">
        <v>139</v>
      </c>
      <c r="F37" s="71" t="s">
        <v>204</v>
      </c>
      <c r="G37" s="71" t="s">
        <v>184</v>
      </c>
      <c r="H37" s="71" t="s">
        <v>184</v>
      </c>
      <c r="I37" s="74" t="s">
        <v>45</v>
      </c>
      <c r="J37" s="75">
        <v>45382</v>
      </c>
      <c r="K37" s="71" t="s">
        <v>184</v>
      </c>
      <c r="L37" s="71" t="s">
        <v>184</v>
      </c>
      <c r="M37" s="75">
        <v>45382</v>
      </c>
      <c r="N37" s="75">
        <v>45382</v>
      </c>
      <c r="O37" s="66"/>
    </row>
    <row r="38" spans="1:15" x14ac:dyDescent="0.25">
      <c r="A38" s="63" t="s">
        <v>265</v>
      </c>
      <c r="B38" s="66">
        <v>2024</v>
      </c>
      <c r="C38" s="65">
        <v>121</v>
      </c>
      <c r="D38" s="65" t="s">
        <v>44</v>
      </c>
      <c r="E38" s="65" t="s">
        <v>140</v>
      </c>
      <c r="F38" s="71" t="s">
        <v>205</v>
      </c>
      <c r="G38" s="71" t="s">
        <v>184</v>
      </c>
      <c r="H38" s="71" t="s">
        <v>184</v>
      </c>
      <c r="I38" s="74" t="s">
        <v>45</v>
      </c>
      <c r="J38" s="75">
        <v>45382</v>
      </c>
      <c r="K38" s="76" t="s">
        <v>184</v>
      </c>
      <c r="L38" s="71" t="s">
        <v>184</v>
      </c>
      <c r="M38" s="75">
        <v>45382</v>
      </c>
      <c r="N38" s="75">
        <v>45382</v>
      </c>
      <c r="O38" s="66"/>
    </row>
    <row r="39" spans="1:15" x14ac:dyDescent="0.25">
      <c r="A39" s="63" t="s">
        <v>265</v>
      </c>
      <c r="B39" s="66">
        <v>2024</v>
      </c>
      <c r="C39" s="65">
        <v>121</v>
      </c>
      <c r="D39" s="65" t="s">
        <v>44</v>
      </c>
      <c r="E39" s="65" t="s">
        <v>141</v>
      </c>
      <c r="F39" s="71" t="s">
        <v>206</v>
      </c>
      <c r="G39" s="71" t="s">
        <v>172</v>
      </c>
      <c r="H39" s="71" t="s">
        <v>175</v>
      </c>
      <c r="I39" s="74" t="s">
        <v>45</v>
      </c>
      <c r="J39" s="75">
        <v>45382</v>
      </c>
      <c r="K39" s="78" t="s">
        <v>110</v>
      </c>
      <c r="L39" s="76" t="s">
        <v>259</v>
      </c>
      <c r="M39" s="75">
        <v>45382</v>
      </c>
      <c r="N39" s="75">
        <v>45382</v>
      </c>
      <c r="O39" s="66"/>
    </row>
    <row r="40" spans="1:15" x14ac:dyDescent="0.25">
      <c r="A40" s="63" t="s">
        <v>265</v>
      </c>
      <c r="B40" s="66">
        <v>2024</v>
      </c>
      <c r="C40" s="65">
        <v>121</v>
      </c>
      <c r="D40" s="65" t="s">
        <v>44</v>
      </c>
      <c r="E40" s="65" t="s">
        <v>142</v>
      </c>
      <c r="F40" s="71" t="s">
        <v>207</v>
      </c>
      <c r="G40" s="71" t="s">
        <v>172</v>
      </c>
      <c r="H40" s="71" t="s">
        <v>175</v>
      </c>
      <c r="I40" s="74" t="s">
        <v>45</v>
      </c>
      <c r="J40" s="75">
        <v>45382</v>
      </c>
      <c r="K40" s="76" t="s">
        <v>259</v>
      </c>
      <c r="L40" s="76" t="s">
        <v>259</v>
      </c>
      <c r="M40" s="75">
        <v>45382</v>
      </c>
      <c r="N40" s="75">
        <v>45382</v>
      </c>
      <c r="O40" s="66"/>
    </row>
    <row r="41" spans="1:15" x14ac:dyDescent="0.25">
      <c r="A41" s="63" t="s">
        <v>265</v>
      </c>
      <c r="B41" s="66">
        <v>2024</v>
      </c>
      <c r="C41" s="65">
        <v>121</v>
      </c>
      <c r="D41" s="65" t="s">
        <v>44</v>
      </c>
      <c r="E41" s="65" t="s">
        <v>143</v>
      </c>
      <c r="F41" s="71" t="s">
        <v>208</v>
      </c>
      <c r="G41" s="71" t="s">
        <v>184</v>
      </c>
      <c r="H41" s="71" t="s">
        <v>184</v>
      </c>
      <c r="I41" s="74" t="s">
        <v>45</v>
      </c>
      <c r="J41" s="75">
        <v>45382</v>
      </c>
      <c r="K41" s="71" t="s">
        <v>184</v>
      </c>
      <c r="L41" s="71" t="s">
        <v>184</v>
      </c>
      <c r="M41" s="75">
        <v>45382</v>
      </c>
      <c r="N41" s="75">
        <v>45382</v>
      </c>
      <c r="O41" s="66"/>
    </row>
    <row r="42" spans="1:15" x14ac:dyDescent="0.25">
      <c r="A42" s="63" t="s">
        <v>265</v>
      </c>
      <c r="B42" s="66">
        <v>2024</v>
      </c>
      <c r="C42" s="65">
        <v>121</v>
      </c>
      <c r="D42" s="65" t="s">
        <v>44</v>
      </c>
      <c r="E42" s="65" t="s">
        <v>144</v>
      </c>
      <c r="F42" s="71" t="s">
        <v>209</v>
      </c>
      <c r="G42" s="71" t="s">
        <v>184</v>
      </c>
      <c r="H42" s="71" t="s">
        <v>184</v>
      </c>
      <c r="I42" s="74" t="s">
        <v>45</v>
      </c>
      <c r="J42" s="75">
        <v>45382</v>
      </c>
      <c r="K42" s="76" t="s">
        <v>184</v>
      </c>
      <c r="L42" s="71" t="s">
        <v>184</v>
      </c>
      <c r="M42" s="75">
        <v>45382</v>
      </c>
      <c r="N42" s="75">
        <v>45382</v>
      </c>
      <c r="O42" s="66"/>
    </row>
    <row r="43" spans="1:15" x14ac:dyDescent="0.25">
      <c r="A43" s="63" t="s">
        <v>265</v>
      </c>
      <c r="B43" s="66">
        <v>2024</v>
      </c>
      <c r="C43" s="65">
        <v>121</v>
      </c>
      <c r="D43" s="65" t="s">
        <v>44</v>
      </c>
      <c r="E43" s="65" t="s">
        <v>145</v>
      </c>
      <c r="F43" s="71" t="s">
        <v>210</v>
      </c>
      <c r="G43" s="71" t="s">
        <v>172</v>
      </c>
      <c r="H43" s="71" t="s">
        <v>175</v>
      </c>
      <c r="I43" s="74" t="s">
        <v>45</v>
      </c>
      <c r="J43" s="75">
        <v>45382</v>
      </c>
      <c r="K43" s="76" t="s">
        <v>259</v>
      </c>
      <c r="L43" s="76" t="s">
        <v>259</v>
      </c>
      <c r="M43" s="75">
        <v>45382</v>
      </c>
      <c r="N43" s="75">
        <v>45382</v>
      </c>
      <c r="O43" s="66"/>
    </row>
    <row r="44" spans="1:15" x14ac:dyDescent="0.25">
      <c r="A44" s="63" t="s">
        <v>265</v>
      </c>
      <c r="B44" s="66">
        <v>2024</v>
      </c>
      <c r="C44" s="65">
        <v>121</v>
      </c>
      <c r="D44" s="65" t="s">
        <v>44</v>
      </c>
      <c r="E44" s="65" t="s">
        <v>146</v>
      </c>
      <c r="F44" s="71" t="s">
        <v>211</v>
      </c>
      <c r="G44" s="71" t="s">
        <v>184</v>
      </c>
      <c r="H44" s="71" t="s">
        <v>184</v>
      </c>
      <c r="I44" s="74" t="s">
        <v>45</v>
      </c>
      <c r="J44" s="75">
        <v>45382</v>
      </c>
      <c r="K44" s="76" t="s">
        <v>184</v>
      </c>
      <c r="L44" s="71" t="s">
        <v>184</v>
      </c>
      <c r="M44" s="75">
        <v>45382</v>
      </c>
      <c r="N44" s="75">
        <v>45382</v>
      </c>
      <c r="O44" s="66"/>
    </row>
    <row r="45" spans="1:15" x14ac:dyDescent="0.25">
      <c r="A45" s="63" t="s">
        <v>265</v>
      </c>
      <c r="B45" s="66">
        <v>2024</v>
      </c>
      <c r="C45" s="65">
        <v>121</v>
      </c>
      <c r="D45" s="65" t="s">
        <v>44</v>
      </c>
      <c r="E45" s="65" t="s">
        <v>147</v>
      </c>
      <c r="F45" s="71" t="s">
        <v>212</v>
      </c>
      <c r="G45" s="71" t="s">
        <v>172</v>
      </c>
      <c r="H45" s="71" t="s">
        <v>175</v>
      </c>
      <c r="I45" s="74" t="s">
        <v>45</v>
      </c>
      <c r="J45" s="75">
        <v>45382</v>
      </c>
      <c r="K45" s="76" t="s">
        <v>259</v>
      </c>
      <c r="L45" s="76" t="s">
        <v>259</v>
      </c>
      <c r="M45" s="75">
        <v>45382</v>
      </c>
      <c r="N45" s="75">
        <v>45382</v>
      </c>
      <c r="O45" s="66"/>
    </row>
    <row r="46" spans="1:15" x14ac:dyDescent="0.25">
      <c r="A46" s="63" t="s">
        <v>265</v>
      </c>
      <c r="B46" s="66">
        <v>2024</v>
      </c>
      <c r="C46" s="65">
        <v>121</v>
      </c>
      <c r="D46" s="65" t="s">
        <v>44</v>
      </c>
      <c r="E46" s="65" t="s">
        <v>148</v>
      </c>
      <c r="F46" s="71" t="s">
        <v>213</v>
      </c>
      <c r="G46" s="71" t="s">
        <v>172</v>
      </c>
      <c r="H46" s="71" t="s">
        <v>175</v>
      </c>
      <c r="I46" s="74" t="s">
        <v>45</v>
      </c>
      <c r="J46" s="75">
        <v>45382</v>
      </c>
      <c r="K46" s="76" t="s">
        <v>259</v>
      </c>
      <c r="L46" s="76" t="s">
        <v>259</v>
      </c>
      <c r="M46" s="75">
        <v>45382</v>
      </c>
      <c r="N46" s="75">
        <v>45382</v>
      </c>
      <c r="O46" s="66"/>
    </row>
    <row r="47" spans="1:15" x14ac:dyDescent="0.25">
      <c r="A47" s="63" t="s">
        <v>265</v>
      </c>
      <c r="B47" s="66">
        <v>2024</v>
      </c>
      <c r="C47" s="65">
        <v>121</v>
      </c>
      <c r="D47" s="65" t="s">
        <v>44</v>
      </c>
      <c r="E47" s="65" t="s">
        <v>149</v>
      </c>
      <c r="F47" s="71" t="s">
        <v>214</v>
      </c>
      <c r="G47" s="71" t="s">
        <v>184</v>
      </c>
      <c r="H47" s="71" t="s">
        <v>184</v>
      </c>
      <c r="I47" s="74" t="s">
        <v>45</v>
      </c>
      <c r="J47" s="75">
        <v>45382</v>
      </c>
      <c r="K47" s="76" t="s">
        <v>184</v>
      </c>
      <c r="L47" s="71" t="s">
        <v>184</v>
      </c>
      <c r="M47" s="75">
        <v>45382</v>
      </c>
      <c r="N47" s="75">
        <v>45382</v>
      </c>
      <c r="O47" s="66"/>
    </row>
    <row r="48" spans="1:15" x14ac:dyDescent="0.25">
      <c r="A48" s="63" t="s">
        <v>265</v>
      </c>
      <c r="B48" s="66">
        <v>2024</v>
      </c>
      <c r="C48" s="65">
        <v>121</v>
      </c>
      <c r="D48" s="65" t="s">
        <v>44</v>
      </c>
      <c r="E48" s="65" t="s">
        <v>150</v>
      </c>
      <c r="F48" s="71" t="s">
        <v>215</v>
      </c>
      <c r="G48" s="71" t="s">
        <v>172</v>
      </c>
      <c r="H48" s="71" t="s">
        <v>175</v>
      </c>
      <c r="I48" s="74" t="s">
        <v>45</v>
      </c>
      <c r="J48" s="75">
        <v>45382</v>
      </c>
      <c r="K48" s="76" t="s">
        <v>259</v>
      </c>
      <c r="L48" s="76" t="s">
        <v>259</v>
      </c>
      <c r="M48" s="75">
        <v>45382</v>
      </c>
      <c r="N48" s="75">
        <v>45382</v>
      </c>
      <c r="O48" s="66"/>
    </row>
    <row r="49" spans="1:15" x14ac:dyDescent="0.25">
      <c r="A49" s="63" t="s">
        <v>265</v>
      </c>
      <c r="B49" s="66">
        <v>2024</v>
      </c>
      <c r="C49" s="65">
        <v>121</v>
      </c>
      <c r="D49" s="65" t="s">
        <v>44</v>
      </c>
      <c r="E49" s="65" t="s">
        <v>151</v>
      </c>
      <c r="F49" s="71" t="s">
        <v>216</v>
      </c>
      <c r="G49" s="71" t="s">
        <v>172</v>
      </c>
      <c r="H49" s="71" t="s">
        <v>175</v>
      </c>
      <c r="I49" s="74" t="s">
        <v>45</v>
      </c>
      <c r="J49" s="75">
        <v>45382</v>
      </c>
      <c r="K49" s="76" t="s">
        <v>259</v>
      </c>
      <c r="L49" s="76" t="s">
        <v>259</v>
      </c>
      <c r="M49" s="75">
        <v>45382</v>
      </c>
      <c r="N49" s="75">
        <v>45382</v>
      </c>
      <c r="O49" s="66"/>
    </row>
    <row r="50" spans="1:15" x14ac:dyDescent="0.25">
      <c r="A50" s="63" t="s">
        <v>265</v>
      </c>
      <c r="B50" s="66">
        <v>2024</v>
      </c>
      <c r="C50" s="65">
        <v>121</v>
      </c>
      <c r="D50" s="65" t="s">
        <v>44</v>
      </c>
      <c r="E50" s="65" t="s">
        <v>152</v>
      </c>
      <c r="F50" s="71" t="s">
        <v>217</v>
      </c>
      <c r="G50" s="71" t="s">
        <v>184</v>
      </c>
      <c r="H50" s="71" t="s">
        <v>184</v>
      </c>
      <c r="I50" s="74" t="s">
        <v>45</v>
      </c>
      <c r="J50" s="75">
        <v>45382</v>
      </c>
      <c r="K50" s="76" t="s">
        <v>184</v>
      </c>
      <c r="L50" s="71" t="s">
        <v>184</v>
      </c>
      <c r="M50" s="75">
        <v>45382</v>
      </c>
      <c r="N50" s="75">
        <v>45382</v>
      </c>
      <c r="O50" s="66"/>
    </row>
    <row r="51" spans="1:15" x14ac:dyDescent="0.25">
      <c r="A51" s="63" t="s">
        <v>265</v>
      </c>
      <c r="B51" s="66">
        <v>2024</v>
      </c>
      <c r="C51" s="65">
        <v>121</v>
      </c>
      <c r="D51" s="65" t="s">
        <v>44</v>
      </c>
      <c r="E51" s="65" t="s">
        <v>153</v>
      </c>
      <c r="F51" s="71" t="s">
        <v>218</v>
      </c>
      <c r="G51" s="71" t="s">
        <v>172</v>
      </c>
      <c r="H51" s="71" t="s">
        <v>175</v>
      </c>
      <c r="I51" s="74" t="s">
        <v>45</v>
      </c>
      <c r="J51" s="75">
        <v>45382</v>
      </c>
      <c r="K51" s="76" t="s">
        <v>259</v>
      </c>
      <c r="L51" s="76" t="s">
        <v>259</v>
      </c>
      <c r="M51" s="75">
        <v>45382</v>
      </c>
      <c r="N51" s="75">
        <v>45382</v>
      </c>
      <c r="O51" s="66"/>
    </row>
    <row r="52" spans="1:15" x14ac:dyDescent="0.25">
      <c r="A52" s="63" t="s">
        <v>265</v>
      </c>
      <c r="B52" s="66">
        <v>2024</v>
      </c>
      <c r="C52" s="65">
        <v>121</v>
      </c>
      <c r="D52" s="65" t="s">
        <v>44</v>
      </c>
      <c r="E52" s="65" t="s">
        <v>154</v>
      </c>
      <c r="F52" s="71" t="s">
        <v>219</v>
      </c>
      <c r="G52" s="71" t="s">
        <v>220</v>
      </c>
      <c r="H52" s="71" t="s">
        <v>175</v>
      </c>
      <c r="I52" s="74" t="s">
        <v>45</v>
      </c>
      <c r="J52" s="75">
        <v>45382</v>
      </c>
      <c r="K52" s="76" t="s">
        <v>259</v>
      </c>
      <c r="L52" s="76" t="s">
        <v>259</v>
      </c>
      <c r="M52" s="75">
        <v>45382</v>
      </c>
      <c r="N52" s="75">
        <v>45382</v>
      </c>
      <c r="O52" s="66"/>
    </row>
    <row r="53" spans="1:15" x14ac:dyDescent="0.25">
      <c r="A53" s="63" t="s">
        <v>265</v>
      </c>
      <c r="B53" s="66">
        <v>2024</v>
      </c>
      <c r="C53" s="65">
        <v>121</v>
      </c>
      <c r="D53" s="65" t="s">
        <v>44</v>
      </c>
      <c r="E53" s="65" t="s">
        <v>155</v>
      </c>
      <c r="F53" s="71" t="s">
        <v>221</v>
      </c>
      <c r="G53" s="71" t="s">
        <v>172</v>
      </c>
      <c r="H53" s="71" t="s">
        <v>175</v>
      </c>
      <c r="I53" s="74" t="s">
        <v>45</v>
      </c>
      <c r="J53" s="75">
        <v>45382</v>
      </c>
      <c r="K53" s="76" t="s">
        <v>259</v>
      </c>
      <c r="L53" s="76" t="s">
        <v>259</v>
      </c>
      <c r="M53" s="75">
        <v>45382</v>
      </c>
      <c r="N53" s="75">
        <v>45382</v>
      </c>
      <c r="O53" s="66"/>
    </row>
    <row r="54" spans="1:15" x14ac:dyDescent="0.25">
      <c r="A54" s="63" t="s">
        <v>265</v>
      </c>
      <c r="B54" s="66">
        <v>2024</v>
      </c>
      <c r="C54" s="65">
        <v>121</v>
      </c>
      <c r="D54" s="65" t="s">
        <v>44</v>
      </c>
      <c r="E54" s="65" t="s">
        <v>156</v>
      </c>
      <c r="F54" s="71" t="s">
        <v>222</v>
      </c>
      <c r="G54" s="71" t="s">
        <v>184</v>
      </c>
      <c r="H54" s="71" t="s">
        <v>184</v>
      </c>
      <c r="I54" s="74" t="s">
        <v>45</v>
      </c>
      <c r="J54" s="75">
        <v>45382</v>
      </c>
      <c r="K54" s="76" t="s">
        <v>184</v>
      </c>
      <c r="L54" s="71" t="s">
        <v>184</v>
      </c>
      <c r="M54" s="75">
        <v>45382</v>
      </c>
      <c r="N54" s="75">
        <v>45382</v>
      </c>
      <c r="O54" s="66"/>
    </row>
    <row r="55" spans="1:15" x14ac:dyDescent="0.25">
      <c r="A55" s="63" t="s">
        <v>265</v>
      </c>
      <c r="B55" s="66">
        <v>2024</v>
      </c>
      <c r="C55" s="65">
        <v>121</v>
      </c>
      <c r="D55" s="65" t="s">
        <v>44</v>
      </c>
      <c r="E55" s="65" t="s">
        <v>157</v>
      </c>
      <c r="F55" s="71" t="s">
        <v>223</v>
      </c>
      <c r="G55" s="71" t="s">
        <v>184</v>
      </c>
      <c r="H55" s="71" t="s">
        <v>184</v>
      </c>
      <c r="I55" s="74" t="s">
        <v>45</v>
      </c>
      <c r="J55" s="75">
        <v>45382</v>
      </c>
      <c r="K55" s="71" t="s">
        <v>184</v>
      </c>
      <c r="L55" s="71" t="s">
        <v>184</v>
      </c>
      <c r="M55" s="75">
        <v>45382</v>
      </c>
      <c r="N55" s="75">
        <v>45382</v>
      </c>
      <c r="O55" s="66"/>
    </row>
    <row r="56" spans="1:15" x14ac:dyDescent="0.25">
      <c r="A56" s="63" t="s">
        <v>265</v>
      </c>
      <c r="B56" s="66">
        <v>2024</v>
      </c>
      <c r="C56" s="65">
        <v>121</v>
      </c>
      <c r="D56" s="65" t="s">
        <v>44</v>
      </c>
      <c r="E56" s="65" t="s">
        <v>158</v>
      </c>
      <c r="F56" s="71" t="s">
        <v>224</v>
      </c>
      <c r="G56" s="71" t="s">
        <v>184</v>
      </c>
      <c r="H56" s="71" t="s">
        <v>184</v>
      </c>
      <c r="I56" s="74" t="s">
        <v>45</v>
      </c>
      <c r="J56" s="75">
        <v>45382</v>
      </c>
      <c r="K56" s="71" t="s">
        <v>184</v>
      </c>
      <c r="L56" s="71" t="s">
        <v>184</v>
      </c>
      <c r="M56" s="75">
        <v>45382</v>
      </c>
      <c r="N56" s="75">
        <v>45382</v>
      </c>
      <c r="O56" s="66"/>
    </row>
    <row r="57" spans="1:15" x14ac:dyDescent="0.25">
      <c r="A57" s="63" t="s">
        <v>265</v>
      </c>
      <c r="B57" s="66">
        <v>2024</v>
      </c>
      <c r="C57" s="65">
        <v>121</v>
      </c>
      <c r="D57" s="65" t="s">
        <v>44</v>
      </c>
      <c r="E57" s="65" t="s">
        <v>159</v>
      </c>
      <c r="F57" s="71" t="s">
        <v>225</v>
      </c>
      <c r="G57" s="71" t="s">
        <v>184</v>
      </c>
      <c r="H57" s="71" t="s">
        <v>184</v>
      </c>
      <c r="I57" s="74" t="s">
        <v>45</v>
      </c>
      <c r="J57" s="75">
        <v>45382</v>
      </c>
      <c r="K57" s="76" t="s">
        <v>184</v>
      </c>
      <c r="L57" s="71" t="s">
        <v>184</v>
      </c>
      <c r="M57" s="75">
        <v>45382</v>
      </c>
      <c r="N57" s="75">
        <v>45382</v>
      </c>
      <c r="O57" s="66"/>
    </row>
    <row r="58" spans="1:15" x14ac:dyDescent="0.25">
      <c r="A58" s="63" t="s">
        <v>265</v>
      </c>
      <c r="B58" s="66">
        <v>2024</v>
      </c>
      <c r="C58" s="65">
        <v>121</v>
      </c>
      <c r="D58" s="65" t="s">
        <v>44</v>
      </c>
      <c r="E58" s="65" t="s">
        <v>160</v>
      </c>
      <c r="F58" s="71" t="s">
        <v>226</v>
      </c>
      <c r="G58" s="71" t="s">
        <v>172</v>
      </c>
      <c r="H58" s="71" t="s">
        <v>175</v>
      </c>
      <c r="I58" s="74" t="s">
        <v>45</v>
      </c>
      <c r="J58" s="75">
        <v>45382</v>
      </c>
      <c r="K58" s="76" t="s">
        <v>259</v>
      </c>
      <c r="L58" s="76" t="s">
        <v>259</v>
      </c>
      <c r="M58" s="75">
        <v>45382</v>
      </c>
      <c r="N58" s="75">
        <v>45382</v>
      </c>
      <c r="O58" s="66"/>
    </row>
    <row r="59" spans="1:15" x14ac:dyDescent="0.25">
      <c r="A59" s="63" t="s">
        <v>265</v>
      </c>
      <c r="B59" s="66">
        <v>2024</v>
      </c>
      <c r="C59" s="65">
        <v>121</v>
      </c>
      <c r="D59" s="65" t="s">
        <v>44</v>
      </c>
      <c r="E59" s="65" t="s">
        <v>161</v>
      </c>
      <c r="F59" s="71" t="s">
        <v>227</v>
      </c>
      <c r="G59" s="71" t="s">
        <v>184</v>
      </c>
      <c r="H59" s="71" t="s">
        <v>184</v>
      </c>
      <c r="I59" s="74" t="s">
        <v>45</v>
      </c>
      <c r="J59" s="75">
        <v>45382</v>
      </c>
      <c r="K59" s="71" t="s">
        <v>184</v>
      </c>
      <c r="L59" s="71" t="s">
        <v>184</v>
      </c>
      <c r="M59" s="75">
        <v>45382</v>
      </c>
      <c r="N59" s="75">
        <v>45382</v>
      </c>
      <c r="O59" s="66"/>
    </row>
    <row r="60" spans="1:15" x14ac:dyDescent="0.25">
      <c r="A60" s="63" t="s">
        <v>265</v>
      </c>
      <c r="B60" s="66">
        <v>2024</v>
      </c>
      <c r="C60" s="65">
        <v>121</v>
      </c>
      <c r="D60" s="65" t="s">
        <v>44</v>
      </c>
      <c r="E60" s="65" t="s">
        <v>162</v>
      </c>
      <c r="F60" s="71" t="s">
        <v>228</v>
      </c>
      <c r="G60" s="71" t="s">
        <v>172</v>
      </c>
      <c r="H60" s="71" t="s">
        <v>175</v>
      </c>
      <c r="I60" s="74" t="s">
        <v>45</v>
      </c>
      <c r="J60" s="75">
        <v>45382</v>
      </c>
      <c r="K60" s="76" t="s">
        <v>259</v>
      </c>
      <c r="L60" s="76" t="s">
        <v>259</v>
      </c>
      <c r="M60" s="75">
        <v>45382</v>
      </c>
      <c r="N60" s="75">
        <v>45382</v>
      </c>
      <c r="O60" s="66"/>
    </row>
    <row r="61" spans="1:15" x14ac:dyDescent="0.25">
      <c r="A61" s="63" t="s">
        <v>265</v>
      </c>
      <c r="B61" s="66">
        <v>2024</v>
      </c>
      <c r="C61" s="65">
        <v>121</v>
      </c>
      <c r="D61" s="65" t="s">
        <v>44</v>
      </c>
      <c r="E61" s="65" t="s">
        <v>163</v>
      </c>
      <c r="F61" s="71" t="s">
        <v>229</v>
      </c>
      <c r="G61" s="71" t="s">
        <v>184</v>
      </c>
      <c r="H61" s="71" t="s">
        <v>184</v>
      </c>
      <c r="I61" s="74" t="s">
        <v>45</v>
      </c>
      <c r="J61" s="75">
        <v>45382</v>
      </c>
      <c r="K61" s="76" t="s">
        <v>184</v>
      </c>
      <c r="L61" s="71" t="s">
        <v>184</v>
      </c>
      <c r="M61" s="75">
        <v>45382</v>
      </c>
      <c r="N61" s="75">
        <v>45382</v>
      </c>
      <c r="O61" s="66"/>
    </row>
    <row r="62" spans="1:15" x14ac:dyDescent="0.25">
      <c r="A62" s="63" t="s">
        <v>265</v>
      </c>
      <c r="B62" s="66">
        <v>2024</v>
      </c>
      <c r="C62" s="65">
        <v>121</v>
      </c>
      <c r="D62" s="65" t="s">
        <v>44</v>
      </c>
      <c r="E62" s="65" t="s">
        <v>164</v>
      </c>
      <c r="F62" s="71" t="s">
        <v>230</v>
      </c>
      <c r="G62" s="71" t="s">
        <v>184</v>
      </c>
      <c r="H62" s="71" t="s">
        <v>184</v>
      </c>
      <c r="I62" s="74" t="s">
        <v>45</v>
      </c>
      <c r="J62" s="75">
        <v>45382</v>
      </c>
      <c r="K62" s="71" t="s">
        <v>184</v>
      </c>
      <c r="L62" s="71" t="s">
        <v>184</v>
      </c>
      <c r="M62" s="75">
        <v>45382</v>
      </c>
      <c r="N62" s="75">
        <v>45382</v>
      </c>
      <c r="O62" s="66"/>
    </row>
    <row r="63" spans="1:15" x14ac:dyDescent="0.25">
      <c r="A63" s="63" t="s">
        <v>265</v>
      </c>
      <c r="B63" s="66">
        <v>2024</v>
      </c>
      <c r="C63" s="65">
        <v>123</v>
      </c>
      <c r="D63" s="65" t="s">
        <v>165</v>
      </c>
      <c r="E63" s="65" t="s">
        <v>111</v>
      </c>
      <c r="F63" s="71" t="s">
        <v>231</v>
      </c>
      <c r="G63" s="71" t="s">
        <v>172</v>
      </c>
      <c r="H63" s="71" t="s">
        <v>175</v>
      </c>
      <c r="I63" s="74" t="s">
        <v>45</v>
      </c>
      <c r="J63" s="75">
        <v>45382</v>
      </c>
      <c r="K63" s="76" t="s">
        <v>259</v>
      </c>
      <c r="L63" s="76" t="s">
        <v>259</v>
      </c>
      <c r="M63" s="75">
        <v>45382</v>
      </c>
      <c r="N63" s="75">
        <v>45382</v>
      </c>
      <c r="O63" s="66"/>
    </row>
    <row r="64" spans="1:15" x14ac:dyDescent="0.25">
      <c r="A64" s="63" t="s">
        <v>265</v>
      </c>
      <c r="B64" s="66">
        <v>2024</v>
      </c>
      <c r="C64" s="65">
        <v>123</v>
      </c>
      <c r="D64" s="65" t="s">
        <v>165</v>
      </c>
      <c r="E64" s="65" t="s">
        <v>112</v>
      </c>
      <c r="F64" s="71" t="s">
        <v>232</v>
      </c>
      <c r="G64" s="71" t="s">
        <v>184</v>
      </c>
      <c r="H64" s="71" t="s">
        <v>184</v>
      </c>
      <c r="I64" s="74" t="s">
        <v>45</v>
      </c>
      <c r="J64" s="75">
        <v>45382</v>
      </c>
      <c r="K64" s="76" t="s">
        <v>184</v>
      </c>
      <c r="L64" s="71" t="s">
        <v>184</v>
      </c>
      <c r="M64" s="75">
        <v>45382</v>
      </c>
      <c r="N64" s="75">
        <v>45382</v>
      </c>
      <c r="O64" s="66"/>
    </row>
    <row r="65" spans="1:15" x14ac:dyDescent="0.25">
      <c r="A65" s="63" t="s">
        <v>265</v>
      </c>
      <c r="B65" s="66">
        <v>2024</v>
      </c>
      <c r="C65" s="65">
        <v>123</v>
      </c>
      <c r="D65" s="65" t="s">
        <v>165</v>
      </c>
      <c r="E65" s="65" t="s">
        <v>113</v>
      </c>
      <c r="F65" s="71" t="s">
        <v>233</v>
      </c>
      <c r="G65" s="71" t="s">
        <v>184</v>
      </c>
      <c r="H65" s="71" t="s">
        <v>184</v>
      </c>
      <c r="I65" s="74" t="s">
        <v>45</v>
      </c>
      <c r="J65" s="75">
        <v>45382</v>
      </c>
      <c r="K65" s="71" t="s">
        <v>184</v>
      </c>
      <c r="L65" s="71" t="s">
        <v>184</v>
      </c>
      <c r="M65" s="75">
        <v>45382</v>
      </c>
      <c r="N65" s="75">
        <v>45382</v>
      </c>
      <c r="O65" s="66"/>
    </row>
    <row r="66" spans="1:15" x14ac:dyDescent="0.25">
      <c r="A66" s="63" t="s">
        <v>265</v>
      </c>
      <c r="B66" s="66">
        <v>2024</v>
      </c>
      <c r="C66" s="65">
        <v>123</v>
      </c>
      <c r="D66" s="65" t="s">
        <v>165</v>
      </c>
      <c r="E66" s="65" t="s">
        <v>114</v>
      </c>
      <c r="F66" s="71" t="s">
        <v>234</v>
      </c>
      <c r="G66" s="71" t="s">
        <v>184</v>
      </c>
      <c r="H66" s="71" t="s">
        <v>184</v>
      </c>
      <c r="I66" s="74" t="s">
        <v>45</v>
      </c>
      <c r="J66" s="75">
        <v>45382</v>
      </c>
      <c r="K66" s="71" t="s">
        <v>184</v>
      </c>
      <c r="L66" s="71" t="s">
        <v>184</v>
      </c>
      <c r="M66" s="75">
        <v>45382</v>
      </c>
      <c r="N66" s="75">
        <v>45382</v>
      </c>
      <c r="O66" s="66"/>
    </row>
    <row r="67" spans="1:15" x14ac:dyDescent="0.25">
      <c r="A67" s="63" t="s">
        <v>265</v>
      </c>
      <c r="B67" s="66">
        <v>2024</v>
      </c>
      <c r="C67" s="65">
        <v>123</v>
      </c>
      <c r="D67" s="65" t="s">
        <v>165</v>
      </c>
      <c r="E67" s="65" t="s">
        <v>115</v>
      </c>
      <c r="F67" s="71" t="s">
        <v>235</v>
      </c>
      <c r="G67" s="71" t="s">
        <v>184</v>
      </c>
      <c r="H67" s="71" t="s">
        <v>184</v>
      </c>
      <c r="I67" s="74" t="s">
        <v>45</v>
      </c>
      <c r="J67" s="75">
        <v>45382</v>
      </c>
      <c r="K67" s="76" t="s">
        <v>184</v>
      </c>
      <c r="L67" s="71" t="s">
        <v>184</v>
      </c>
      <c r="M67" s="75">
        <v>45382</v>
      </c>
      <c r="N67" s="75">
        <v>45382</v>
      </c>
      <c r="O67" s="66"/>
    </row>
    <row r="68" spans="1:15" x14ac:dyDescent="0.25">
      <c r="A68" s="63" t="s">
        <v>265</v>
      </c>
      <c r="B68" s="66">
        <v>2024</v>
      </c>
      <c r="C68" s="65">
        <v>123</v>
      </c>
      <c r="D68" s="65" t="s">
        <v>165</v>
      </c>
      <c r="E68" s="65" t="s">
        <v>116</v>
      </c>
      <c r="F68" s="71" t="s">
        <v>236</v>
      </c>
      <c r="G68" s="71" t="s">
        <v>184</v>
      </c>
      <c r="H68" s="71" t="s">
        <v>184</v>
      </c>
      <c r="I68" s="74" t="s">
        <v>45</v>
      </c>
      <c r="J68" s="75">
        <v>45382</v>
      </c>
      <c r="K68" s="76" t="s">
        <v>184</v>
      </c>
      <c r="L68" s="71" t="s">
        <v>184</v>
      </c>
      <c r="M68" s="75">
        <v>45382</v>
      </c>
      <c r="N68" s="75">
        <v>45382</v>
      </c>
      <c r="O68" s="66"/>
    </row>
    <row r="69" spans="1:15" x14ac:dyDescent="0.25">
      <c r="A69" s="63" t="s">
        <v>265</v>
      </c>
      <c r="B69" s="66">
        <v>2024</v>
      </c>
      <c r="C69" s="65">
        <v>123</v>
      </c>
      <c r="D69" s="65" t="s">
        <v>165</v>
      </c>
      <c r="E69" s="65" t="s">
        <v>117</v>
      </c>
      <c r="F69" s="71" t="s">
        <v>237</v>
      </c>
      <c r="G69" s="71" t="s">
        <v>184</v>
      </c>
      <c r="H69" s="71" t="s">
        <v>184</v>
      </c>
      <c r="I69" s="74" t="s">
        <v>45</v>
      </c>
      <c r="J69" s="75">
        <v>45382</v>
      </c>
      <c r="K69" s="76" t="s">
        <v>184</v>
      </c>
      <c r="L69" s="71" t="s">
        <v>184</v>
      </c>
      <c r="M69" s="75">
        <v>45382</v>
      </c>
      <c r="N69" s="75">
        <v>45382</v>
      </c>
      <c r="O69" s="66"/>
    </row>
    <row r="70" spans="1:15" x14ac:dyDescent="0.25">
      <c r="A70" s="63" t="s">
        <v>265</v>
      </c>
      <c r="B70" s="66">
        <v>2024</v>
      </c>
      <c r="C70" s="65">
        <v>123</v>
      </c>
      <c r="D70" s="65" t="s">
        <v>165</v>
      </c>
      <c r="E70" s="65" t="s">
        <v>118</v>
      </c>
      <c r="F70" s="71" t="s">
        <v>238</v>
      </c>
      <c r="G70" s="71" t="s">
        <v>184</v>
      </c>
      <c r="H70" s="71" t="s">
        <v>184</v>
      </c>
      <c r="I70" s="74" t="s">
        <v>45</v>
      </c>
      <c r="J70" s="75">
        <v>45382</v>
      </c>
      <c r="K70" s="76" t="s">
        <v>184</v>
      </c>
      <c r="L70" s="71" t="s">
        <v>184</v>
      </c>
      <c r="M70" s="75">
        <v>45382</v>
      </c>
      <c r="N70" s="75">
        <v>45382</v>
      </c>
      <c r="O70" s="66"/>
    </row>
    <row r="71" spans="1:15" x14ac:dyDescent="0.25">
      <c r="A71" s="63" t="s">
        <v>265</v>
      </c>
      <c r="B71" s="66">
        <v>2024</v>
      </c>
      <c r="C71" s="65">
        <v>123</v>
      </c>
      <c r="D71" s="65" t="s">
        <v>165</v>
      </c>
      <c r="E71" s="65" t="s">
        <v>119</v>
      </c>
      <c r="F71" s="71" t="s">
        <v>239</v>
      </c>
      <c r="G71" s="71" t="s">
        <v>184</v>
      </c>
      <c r="H71" s="71" t="s">
        <v>184</v>
      </c>
      <c r="I71" s="74" t="s">
        <v>45</v>
      </c>
      <c r="J71" s="75">
        <v>45382</v>
      </c>
      <c r="K71" s="76" t="s">
        <v>184</v>
      </c>
      <c r="L71" s="71" t="s">
        <v>184</v>
      </c>
      <c r="M71" s="75">
        <v>45382</v>
      </c>
      <c r="N71" s="75">
        <v>45382</v>
      </c>
      <c r="O71" s="66"/>
    </row>
    <row r="72" spans="1:15" x14ac:dyDescent="0.25">
      <c r="A72" s="63" t="s">
        <v>265</v>
      </c>
      <c r="B72" s="66">
        <v>2024</v>
      </c>
      <c r="C72" s="65">
        <v>123</v>
      </c>
      <c r="D72" s="65" t="s">
        <v>165</v>
      </c>
      <c r="E72" s="65" t="s">
        <v>120</v>
      </c>
      <c r="F72" s="71" t="s">
        <v>240</v>
      </c>
      <c r="G72" s="71" t="s">
        <v>184</v>
      </c>
      <c r="H72" s="71" t="s">
        <v>184</v>
      </c>
      <c r="I72" s="74" t="s">
        <v>45</v>
      </c>
      <c r="J72" s="75">
        <v>45382</v>
      </c>
      <c r="K72" s="76" t="s">
        <v>184</v>
      </c>
      <c r="L72" s="71" t="s">
        <v>184</v>
      </c>
      <c r="M72" s="75">
        <v>45382</v>
      </c>
      <c r="N72" s="75">
        <v>45382</v>
      </c>
      <c r="O72" s="66"/>
    </row>
    <row r="73" spans="1:15" x14ac:dyDescent="0.25">
      <c r="A73" s="63" t="s">
        <v>265</v>
      </c>
      <c r="B73" s="66">
        <v>2024</v>
      </c>
      <c r="C73" s="65">
        <v>123</v>
      </c>
      <c r="D73" s="65" t="s">
        <v>165</v>
      </c>
      <c r="E73" s="65" t="s">
        <v>121</v>
      </c>
      <c r="F73" s="71" t="s">
        <v>241</v>
      </c>
      <c r="G73" s="71" t="s">
        <v>184</v>
      </c>
      <c r="H73" s="71" t="s">
        <v>184</v>
      </c>
      <c r="I73" s="74" t="s">
        <v>45</v>
      </c>
      <c r="J73" s="75">
        <v>45382</v>
      </c>
      <c r="K73" s="76" t="s">
        <v>184</v>
      </c>
      <c r="L73" s="71" t="s">
        <v>184</v>
      </c>
      <c r="M73" s="75">
        <v>45382</v>
      </c>
      <c r="N73" s="75">
        <v>45382</v>
      </c>
      <c r="O73" s="66"/>
    </row>
    <row r="74" spans="1:15" x14ac:dyDescent="0.25">
      <c r="A74" s="63" t="s">
        <v>265</v>
      </c>
      <c r="B74" s="66">
        <v>2024</v>
      </c>
      <c r="C74" s="65">
        <v>123</v>
      </c>
      <c r="D74" s="65" t="s">
        <v>165</v>
      </c>
      <c r="E74" s="65" t="s">
        <v>122</v>
      </c>
      <c r="F74" s="71" t="s">
        <v>242</v>
      </c>
      <c r="G74" s="71" t="s">
        <v>184</v>
      </c>
      <c r="H74" s="71" t="s">
        <v>184</v>
      </c>
      <c r="I74" s="74" t="s">
        <v>45</v>
      </c>
      <c r="J74" s="75">
        <v>45382</v>
      </c>
      <c r="K74" s="76" t="s">
        <v>184</v>
      </c>
      <c r="L74" s="71" t="s">
        <v>184</v>
      </c>
      <c r="M74" s="75">
        <v>45382</v>
      </c>
      <c r="N74" s="75">
        <v>45382</v>
      </c>
      <c r="O74" s="66"/>
    </row>
    <row r="75" spans="1:15" x14ac:dyDescent="0.25">
      <c r="A75" s="63" t="s">
        <v>265</v>
      </c>
      <c r="B75" s="66">
        <v>2024</v>
      </c>
      <c r="C75" s="65">
        <v>123</v>
      </c>
      <c r="D75" s="65" t="s">
        <v>165</v>
      </c>
      <c r="E75" s="65" t="s">
        <v>123</v>
      </c>
      <c r="F75" s="71" t="s">
        <v>243</v>
      </c>
      <c r="G75" s="71" t="s">
        <v>172</v>
      </c>
      <c r="H75" s="71" t="s">
        <v>175</v>
      </c>
      <c r="I75" s="74" t="s">
        <v>45</v>
      </c>
      <c r="J75" s="75">
        <v>45382</v>
      </c>
      <c r="K75" s="76" t="s">
        <v>259</v>
      </c>
      <c r="L75" s="76" t="s">
        <v>259</v>
      </c>
      <c r="M75" s="75">
        <v>45382</v>
      </c>
      <c r="N75" s="75">
        <v>45382</v>
      </c>
      <c r="O75" s="66"/>
    </row>
    <row r="76" spans="1:15" x14ac:dyDescent="0.25">
      <c r="A76" s="63" t="s">
        <v>265</v>
      </c>
      <c r="B76" s="66">
        <v>2024</v>
      </c>
      <c r="C76" s="65">
        <v>123</v>
      </c>
      <c r="D76" s="65" t="s">
        <v>165</v>
      </c>
      <c r="E76" s="65" t="s">
        <v>124</v>
      </c>
      <c r="F76" s="71" t="s">
        <v>244</v>
      </c>
      <c r="G76" s="71" t="s">
        <v>172</v>
      </c>
      <c r="H76" s="71" t="s">
        <v>175</v>
      </c>
      <c r="I76" s="74" t="s">
        <v>45</v>
      </c>
      <c r="J76" s="75">
        <v>45382</v>
      </c>
      <c r="K76" s="76" t="s">
        <v>259</v>
      </c>
      <c r="L76" s="76" t="s">
        <v>259</v>
      </c>
      <c r="M76" s="75">
        <v>45382</v>
      </c>
      <c r="N76" s="75">
        <v>45382</v>
      </c>
      <c r="O76" s="66"/>
    </row>
    <row r="77" spans="1:15" x14ac:dyDescent="0.25">
      <c r="A77" s="63" t="s">
        <v>265</v>
      </c>
      <c r="B77" s="66">
        <v>2024</v>
      </c>
      <c r="C77" s="65">
        <v>123</v>
      </c>
      <c r="D77" s="65" t="s">
        <v>165</v>
      </c>
      <c r="E77" s="65" t="s">
        <v>125</v>
      </c>
      <c r="F77" s="71" t="s">
        <v>245</v>
      </c>
      <c r="G77" s="71" t="s">
        <v>184</v>
      </c>
      <c r="H77" s="71" t="s">
        <v>184</v>
      </c>
      <c r="I77" s="74" t="s">
        <v>45</v>
      </c>
      <c r="J77" s="75">
        <v>45382</v>
      </c>
      <c r="K77" s="76" t="s">
        <v>184</v>
      </c>
      <c r="L77" s="71" t="s">
        <v>184</v>
      </c>
      <c r="M77" s="75">
        <v>45382</v>
      </c>
      <c r="N77" s="75">
        <v>45382</v>
      </c>
      <c r="O77" s="66"/>
    </row>
    <row r="78" spans="1:15" x14ac:dyDescent="0.25">
      <c r="A78" s="63" t="s">
        <v>265</v>
      </c>
      <c r="B78" s="66">
        <v>2024</v>
      </c>
      <c r="C78" s="65">
        <v>123</v>
      </c>
      <c r="D78" s="65" t="s">
        <v>165</v>
      </c>
      <c r="E78" s="65" t="s">
        <v>126</v>
      </c>
      <c r="F78" s="71" t="s">
        <v>246</v>
      </c>
      <c r="G78" s="71" t="s">
        <v>184</v>
      </c>
      <c r="H78" s="71" t="s">
        <v>184</v>
      </c>
      <c r="I78" s="74" t="s">
        <v>45</v>
      </c>
      <c r="J78" s="75">
        <v>45382</v>
      </c>
      <c r="K78" s="76" t="s">
        <v>184</v>
      </c>
      <c r="L78" s="71" t="s">
        <v>184</v>
      </c>
      <c r="M78" s="75">
        <v>45382</v>
      </c>
      <c r="N78" s="75">
        <v>45382</v>
      </c>
      <c r="O78" s="66"/>
    </row>
    <row r="79" spans="1:15" x14ac:dyDescent="0.25">
      <c r="A79" s="63" t="s">
        <v>265</v>
      </c>
      <c r="B79" s="66">
        <v>2024</v>
      </c>
      <c r="C79" s="65">
        <v>123</v>
      </c>
      <c r="D79" s="65" t="s">
        <v>165</v>
      </c>
      <c r="E79" s="65" t="s">
        <v>127</v>
      </c>
      <c r="F79" s="71" t="s">
        <v>247</v>
      </c>
      <c r="G79" s="71" t="s">
        <v>184</v>
      </c>
      <c r="H79" s="71" t="s">
        <v>184</v>
      </c>
      <c r="I79" s="74" t="s">
        <v>45</v>
      </c>
      <c r="J79" s="75">
        <v>45382</v>
      </c>
      <c r="K79" s="71" t="s">
        <v>184</v>
      </c>
      <c r="L79" s="71" t="s">
        <v>184</v>
      </c>
      <c r="M79" s="75">
        <v>45382</v>
      </c>
      <c r="N79" s="75">
        <v>45382</v>
      </c>
      <c r="O79" s="66"/>
    </row>
    <row r="80" spans="1:15" x14ac:dyDescent="0.25">
      <c r="A80" s="63" t="s">
        <v>265</v>
      </c>
      <c r="B80" s="66">
        <v>2024</v>
      </c>
      <c r="C80" s="65">
        <v>123</v>
      </c>
      <c r="D80" s="65" t="s">
        <v>165</v>
      </c>
      <c r="E80" s="65" t="s">
        <v>128</v>
      </c>
      <c r="F80" s="71" t="s">
        <v>248</v>
      </c>
      <c r="G80" s="71" t="s">
        <v>184</v>
      </c>
      <c r="H80" s="71" t="s">
        <v>184</v>
      </c>
      <c r="I80" s="74" t="s">
        <v>45</v>
      </c>
      <c r="J80" s="75">
        <v>45382</v>
      </c>
      <c r="K80" s="76" t="s">
        <v>184</v>
      </c>
      <c r="L80" s="71" t="s">
        <v>184</v>
      </c>
      <c r="M80" s="75">
        <v>45382</v>
      </c>
      <c r="N80" s="75">
        <v>45382</v>
      </c>
      <c r="O80" s="66"/>
    </row>
    <row r="81" spans="1:15" x14ac:dyDescent="0.25">
      <c r="A81" s="63" t="s">
        <v>265</v>
      </c>
      <c r="B81" s="66">
        <v>2024</v>
      </c>
      <c r="C81" s="65">
        <v>123</v>
      </c>
      <c r="D81" s="65" t="s">
        <v>165</v>
      </c>
      <c r="E81" s="65" t="s">
        <v>129</v>
      </c>
      <c r="F81" s="71" t="s">
        <v>249</v>
      </c>
      <c r="G81" s="71" t="s">
        <v>184</v>
      </c>
      <c r="H81" s="71" t="s">
        <v>184</v>
      </c>
      <c r="I81" s="74" t="s">
        <v>45</v>
      </c>
      <c r="J81" s="75">
        <v>45382</v>
      </c>
      <c r="K81" s="76" t="s">
        <v>184</v>
      </c>
      <c r="L81" s="71" t="s">
        <v>184</v>
      </c>
      <c r="M81" s="75">
        <v>45382</v>
      </c>
      <c r="N81" s="75">
        <v>45382</v>
      </c>
      <c r="O81" s="66"/>
    </row>
    <row r="82" spans="1:15" x14ac:dyDescent="0.25">
      <c r="A82" s="63" t="s">
        <v>265</v>
      </c>
      <c r="B82" s="66">
        <v>2024</v>
      </c>
      <c r="C82" s="65">
        <v>123</v>
      </c>
      <c r="D82" s="65" t="s">
        <v>165</v>
      </c>
      <c r="E82" s="65" t="s">
        <v>130</v>
      </c>
      <c r="F82" s="71" t="s">
        <v>250</v>
      </c>
      <c r="G82" s="71" t="s">
        <v>184</v>
      </c>
      <c r="H82" s="71" t="s">
        <v>184</v>
      </c>
      <c r="I82" s="74" t="s">
        <v>45</v>
      </c>
      <c r="J82" s="75">
        <v>45382</v>
      </c>
      <c r="K82" s="76" t="s">
        <v>184</v>
      </c>
      <c r="L82" s="71" t="s">
        <v>184</v>
      </c>
      <c r="M82" s="75">
        <v>45382</v>
      </c>
      <c r="N82" s="75">
        <v>45382</v>
      </c>
      <c r="O82" s="66"/>
    </row>
    <row r="83" spans="1:15" x14ac:dyDescent="0.25">
      <c r="A83" s="63" t="s">
        <v>265</v>
      </c>
      <c r="B83" s="66">
        <v>2024</v>
      </c>
      <c r="C83" s="65">
        <v>123</v>
      </c>
      <c r="D83" s="65" t="s">
        <v>165</v>
      </c>
      <c r="E83" s="65" t="s">
        <v>131</v>
      </c>
      <c r="F83" s="71" t="s">
        <v>251</v>
      </c>
      <c r="G83" s="71" t="s">
        <v>184</v>
      </c>
      <c r="H83" s="71" t="s">
        <v>184</v>
      </c>
      <c r="I83" s="74" t="s">
        <v>45</v>
      </c>
      <c r="J83" s="75">
        <v>45382</v>
      </c>
      <c r="K83" s="76" t="s">
        <v>184</v>
      </c>
      <c r="L83" s="71" t="s">
        <v>184</v>
      </c>
      <c r="M83" s="75">
        <v>45382</v>
      </c>
      <c r="N83" s="75">
        <v>45382</v>
      </c>
      <c r="O83" s="66"/>
    </row>
    <row r="84" spans="1:15" x14ac:dyDescent="0.25">
      <c r="A84" s="63" t="s">
        <v>265</v>
      </c>
      <c r="B84" s="66">
        <v>2024</v>
      </c>
      <c r="C84" s="65">
        <v>123</v>
      </c>
      <c r="D84" s="65" t="s">
        <v>165</v>
      </c>
      <c r="E84" s="65" t="s">
        <v>132</v>
      </c>
      <c r="F84" s="71" t="s">
        <v>252</v>
      </c>
      <c r="G84" s="71" t="s">
        <v>184</v>
      </c>
      <c r="H84" s="71" t="s">
        <v>184</v>
      </c>
      <c r="I84" s="74" t="s">
        <v>45</v>
      </c>
      <c r="J84" s="75">
        <v>45382</v>
      </c>
      <c r="K84" s="76" t="s">
        <v>184</v>
      </c>
      <c r="L84" s="71" t="s">
        <v>184</v>
      </c>
      <c r="M84" s="75">
        <v>45382</v>
      </c>
      <c r="N84" s="75">
        <v>45382</v>
      </c>
      <c r="O84" s="66"/>
    </row>
    <row r="85" spans="1:15" x14ac:dyDescent="0.25">
      <c r="A85" s="63" t="s">
        <v>265</v>
      </c>
      <c r="B85" s="66">
        <v>2024</v>
      </c>
      <c r="C85" s="65">
        <v>123</v>
      </c>
      <c r="D85" s="65" t="s">
        <v>165</v>
      </c>
      <c r="E85" s="65" t="s">
        <v>133</v>
      </c>
      <c r="F85" s="71" t="s">
        <v>253</v>
      </c>
      <c r="G85" s="71" t="s">
        <v>184</v>
      </c>
      <c r="H85" s="71" t="s">
        <v>184</v>
      </c>
      <c r="I85" s="74" t="s">
        <v>45</v>
      </c>
      <c r="J85" s="75">
        <v>45382</v>
      </c>
      <c r="K85" s="76" t="s">
        <v>184</v>
      </c>
      <c r="L85" s="71" t="s">
        <v>184</v>
      </c>
      <c r="M85" s="75">
        <v>45382</v>
      </c>
      <c r="N85" s="75">
        <v>45382</v>
      </c>
      <c r="O85" s="66"/>
    </row>
    <row r="86" spans="1:15" x14ac:dyDescent="0.25">
      <c r="A86" s="63" t="s">
        <v>265</v>
      </c>
      <c r="B86" s="66">
        <v>2024</v>
      </c>
      <c r="C86" s="65">
        <v>123</v>
      </c>
      <c r="D86" s="65" t="s">
        <v>165</v>
      </c>
      <c r="E86" s="65" t="s">
        <v>134</v>
      </c>
      <c r="F86" s="71" t="s">
        <v>254</v>
      </c>
      <c r="G86" s="71" t="s">
        <v>184</v>
      </c>
      <c r="H86" s="71" t="s">
        <v>184</v>
      </c>
      <c r="I86" s="74" t="s">
        <v>45</v>
      </c>
      <c r="J86" s="75">
        <v>45382</v>
      </c>
      <c r="K86" s="76" t="s">
        <v>184</v>
      </c>
      <c r="L86" s="71" t="s">
        <v>184</v>
      </c>
      <c r="M86" s="75">
        <v>45382</v>
      </c>
      <c r="N86" s="75">
        <v>45382</v>
      </c>
      <c r="O86" s="66"/>
    </row>
    <row r="87" spans="1:15" x14ac:dyDescent="0.25">
      <c r="A87" s="63" t="s">
        <v>265</v>
      </c>
      <c r="B87" s="66">
        <v>2024</v>
      </c>
      <c r="C87" s="65">
        <v>123</v>
      </c>
      <c r="D87" s="65" t="s">
        <v>165</v>
      </c>
      <c r="E87" s="65" t="s">
        <v>135</v>
      </c>
      <c r="F87" s="71" t="s">
        <v>255</v>
      </c>
      <c r="G87" s="71" t="s">
        <v>184</v>
      </c>
      <c r="H87" s="71" t="s">
        <v>184</v>
      </c>
      <c r="I87" s="74" t="s">
        <v>45</v>
      </c>
      <c r="J87" s="75">
        <v>45382</v>
      </c>
      <c r="K87" s="76" t="s">
        <v>184</v>
      </c>
      <c r="L87" s="71" t="s">
        <v>184</v>
      </c>
      <c r="M87" s="75">
        <v>45382</v>
      </c>
      <c r="N87" s="75">
        <v>45382</v>
      </c>
      <c r="O87" s="66"/>
    </row>
    <row r="88" spans="1:15" x14ac:dyDescent="0.25">
      <c r="A88" s="63" t="s">
        <v>265</v>
      </c>
      <c r="B88" s="66">
        <v>2024</v>
      </c>
      <c r="C88" s="65">
        <v>123</v>
      </c>
      <c r="D88" s="65" t="s">
        <v>165</v>
      </c>
      <c r="E88" s="65" t="s">
        <v>136</v>
      </c>
      <c r="F88" s="71" t="s">
        <v>256</v>
      </c>
      <c r="G88" s="71" t="s">
        <v>184</v>
      </c>
      <c r="H88" s="71" t="s">
        <v>184</v>
      </c>
      <c r="I88" s="74" t="s">
        <v>45</v>
      </c>
      <c r="J88" s="75">
        <v>45382</v>
      </c>
      <c r="K88" s="76" t="s">
        <v>184</v>
      </c>
      <c r="L88" s="71" t="s">
        <v>184</v>
      </c>
      <c r="M88" s="75">
        <v>45382</v>
      </c>
      <c r="N88" s="75">
        <v>45382</v>
      </c>
      <c r="O88" s="66"/>
    </row>
    <row r="89" spans="1:15" x14ac:dyDescent="0.25">
      <c r="A89" s="63" t="s">
        <v>265</v>
      </c>
      <c r="B89" s="66">
        <v>2024</v>
      </c>
      <c r="C89" s="65">
        <v>144</v>
      </c>
      <c r="D89" s="65" t="s">
        <v>167</v>
      </c>
      <c r="E89" s="65" t="s">
        <v>166</v>
      </c>
      <c r="F89" s="71" t="s">
        <v>167</v>
      </c>
      <c r="G89" s="71" t="s">
        <v>172</v>
      </c>
      <c r="H89" s="71" t="s">
        <v>175</v>
      </c>
      <c r="I89" s="74" t="s">
        <v>45</v>
      </c>
      <c r="J89" s="75">
        <v>45382</v>
      </c>
      <c r="K89" s="76" t="s">
        <v>259</v>
      </c>
      <c r="L89" s="76" t="s">
        <v>259</v>
      </c>
      <c r="M89" s="75">
        <v>45382</v>
      </c>
      <c r="N89" s="75">
        <v>45382</v>
      </c>
      <c r="O89" s="66"/>
    </row>
    <row r="90" spans="1:15" x14ac:dyDescent="0.25">
      <c r="A90" s="63" t="s">
        <v>265</v>
      </c>
      <c r="B90" s="66">
        <v>2024</v>
      </c>
      <c r="C90" s="65">
        <v>145</v>
      </c>
      <c r="D90" s="65" t="s">
        <v>168</v>
      </c>
      <c r="E90" s="65" t="s">
        <v>166</v>
      </c>
      <c r="F90" s="73" t="s">
        <v>257</v>
      </c>
      <c r="G90" s="71" t="s">
        <v>172</v>
      </c>
      <c r="H90" s="71" t="s">
        <v>175</v>
      </c>
      <c r="I90" s="74" t="s">
        <v>45</v>
      </c>
      <c r="J90" s="75">
        <v>45382</v>
      </c>
      <c r="K90" s="76" t="s">
        <v>259</v>
      </c>
      <c r="L90" s="76" t="s">
        <v>259</v>
      </c>
      <c r="M90" s="75">
        <v>45382</v>
      </c>
      <c r="N90" s="75">
        <v>45382</v>
      </c>
      <c r="O90" s="66"/>
    </row>
    <row r="91" spans="1:15" x14ac:dyDescent="0.25">
      <c r="A91" s="63" t="s">
        <v>265</v>
      </c>
      <c r="B91" s="66">
        <v>2024</v>
      </c>
      <c r="C91" s="65">
        <v>146</v>
      </c>
      <c r="D91" s="65" t="s">
        <v>169</v>
      </c>
      <c r="E91" s="65" t="s">
        <v>166</v>
      </c>
      <c r="F91" s="73" t="s">
        <v>258</v>
      </c>
      <c r="G91" s="71" t="s">
        <v>172</v>
      </c>
      <c r="H91" s="71" t="s">
        <v>175</v>
      </c>
      <c r="I91" s="74" t="s">
        <v>45</v>
      </c>
      <c r="J91" s="75">
        <v>45382</v>
      </c>
      <c r="K91" s="76" t="s">
        <v>259</v>
      </c>
      <c r="L91" s="76" t="s">
        <v>259</v>
      </c>
      <c r="M91" s="75">
        <v>45382</v>
      </c>
      <c r="N91" s="75">
        <v>45382</v>
      </c>
      <c r="O91" s="66"/>
    </row>
    <row r="92" spans="1:15" ht="15.75" customHeight="1" x14ac:dyDescent="0.25">
      <c r="A92" s="63" t="s">
        <v>265</v>
      </c>
      <c r="B92" s="66">
        <v>2024</v>
      </c>
      <c r="C92" s="65">
        <v>172</v>
      </c>
      <c r="D92" s="65" t="s">
        <v>170</v>
      </c>
      <c r="E92" s="65" t="s">
        <v>166</v>
      </c>
      <c r="F92" s="73" t="s">
        <v>170</v>
      </c>
      <c r="G92" s="71" t="s">
        <v>172</v>
      </c>
      <c r="H92" s="71" t="s">
        <v>175</v>
      </c>
      <c r="I92" s="74" t="s">
        <v>45</v>
      </c>
      <c r="J92" s="75">
        <v>45382</v>
      </c>
      <c r="K92" s="76" t="s">
        <v>259</v>
      </c>
      <c r="L92" s="76" t="s">
        <v>259</v>
      </c>
      <c r="M92" s="75">
        <v>45382</v>
      </c>
      <c r="N92" s="75">
        <v>45382</v>
      </c>
      <c r="O92" s="66"/>
    </row>
  </sheetData>
  <mergeCells count="7">
    <mergeCell ref="A6:O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AO67"/>
  <sheetViews>
    <sheetView showGridLines="0" zoomScaleNormal="100" workbookViewId="0">
      <selection activeCell="U7" sqref="U7:W8"/>
    </sheetView>
  </sheetViews>
  <sheetFormatPr baseColWidth="10" defaultColWidth="8.140625" defaultRowHeight="11.25" x14ac:dyDescent="0.2"/>
  <cols>
    <col min="1" max="1" width="2.28515625" style="9" customWidth="1"/>
    <col min="2" max="2" width="3.28515625" style="5" customWidth="1"/>
    <col min="3" max="9" width="7.5703125" style="5" customWidth="1"/>
    <col min="10" max="10" width="3.28515625" style="5" customWidth="1"/>
    <col min="11" max="17" width="7.5703125" style="5" customWidth="1"/>
    <col min="18" max="18" width="3.28515625" style="5" customWidth="1"/>
    <col min="19" max="19" width="2.42578125" style="5" customWidth="1"/>
    <col min="20" max="20" width="3.28515625" style="5" customWidth="1"/>
    <col min="21" max="21" width="13.28515625" style="5" customWidth="1"/>
    <col min="22" max="22" width="36" style="5" customWidth="1"/>
    <col min="23" max="23" width="45.5703125" style="5" customWidth="1"/>
    <col min="24" max="24" width="2.42578125" style="5" customWidth="1"/>
    <col min="25" max="43" width="7.85546875" style="5" customWidth="1"/>
    <col min="44" max="44" width="8.140625" style="5" customWidth="1"/>
    <col min="45" max="16384" width="8.140625" style="5"/>
  </cols>
  <sheetData>
    <row r="1" spans="1:41" ht="30" customHeight="1" x14ac:dyDescent="0.4">
      <c r="A1" s="1" t="s">
        <v>46</v>
      </c>
      <c r="B1" s="2"/>
      <c r="C1" s="87">
        <v>2024</v>
      </c>
      <c r="D1" s="87"/>
      <c r="E1" s="87"/>
      <c r="F1" s="87"/>
      <c r="G1" s="88" t="s">
        <v>47</v>
      </c>
      <c r="H1" s="88"/>
      <c r="I1" s="88"/>
      <c r="J1" s="88"/>
      <c r="K1" s="88"/>
      <c r="L1" s="88"/>
      <c r="M1" s="88"/>
      <c r="N1" s="88"/>
      <c r="O1" s="88"/>
      <c r="P1" s="88"/>
      <c r="Q1" s="88"/>
      <c r="R1" s="3"/>
      <c r="S1" s="4"/>
      <c r="T1" s="89" t="s">
        <v>48</v>
      </c>
      <c r="U1" s="89"/>
      <c r="V1" s="89"/>
      <c r="W1" s="90"/>
    </row>
    <row r="2" spans="1:41" ht="15" customHeight="1" thickBot="1" x14ac:dyDescent="0.3">
      <c r="A2" s="6" t="s">
        <v>49</v>
      </c>
      <c r="B2" s="7" t="s">
        <v>50</v>
      </c>
      <c r="C2" s="38"/>
      <c r="D2" s="38"/>
      <c r="E2" s="38"/>
      <c r="F2" s="38"/>
      <c r="G2" s="38"/>
      <c r="H2" s="38"/>
      <c r="I2" s="38"/>
      <c r="J2" s="38"/>
      <c r="S2" s="39"/>
      <c r="U2" s="40"/>
      <c r="V2" s="40"/>
      <c r="W2" s="8"/>
    </row>
    <row r="3" spans="1:41" ht="15" customHeight="1" x14ac:dyDescent="0.25">
      <c r="A3" s="9" t="s">
        <v>51</v>
      </c>
      <c r="B3" s="10"/>
      <c r="C3" s="91" t="s">
        <v>52</v>
      </c>
      <c r="D3" s="92"/>
      <c r="E3" s="92"/>
      <c r="F3" s="92"/>
      <c r="G3" s="92"/>
      <c r="H3" s="92"/>
      <c r="I3" s="93"/>
      <c r="J3" s="41"/>
      <c r="K3" s="94" t="s">
        <v>53</v>
      </c>
      <c r="L3" s="95"/>
      <c r="M3" s="95"/>
      <c r="N3" s="95"/>
      <c r="O3" s="95"/>
      <c r="P3" s="95"/>
      <c r="Q3" s="96"/>
      <c r="S3" s="39"/>
      <c r="U3" s="40"/>
      <c r="V3" s="42"/>
      <c r="W3" s="11"/>
    </row>
    <row r="4" spans="1:41" ht="15" customHeight="1" x14ac:dyDescent="0.25">
      <c r="A4" s="6" t="s">
        <v>54</v>
      </c>
      <c r="B4" s="10"/>
      <c r="C4" s="12" t="s">
        <v>55</v>
      </c>
      <c r="D4" s="43" t="s">
        <v>56</v>
      </c>
      <c r="E4" s="43" t="s">
        <v>57</v>
      </c>
      <c r="F4" s="43" t="s">
        <v>58</v>
      </c>
      <c r="G4" s="43" t="s">
        <v>59</v>
      </c>
      <c r="H4" s="43" t="s">
        <v>60</v>
      </c>
      <c r="I4" s="13" t="s">
        <v>61</v>
      </c>
      <c r="J4" s="44"/>
      <c r="K4" s="12" t="s">
        <v>55</v>
      </c>
      <c r="L4" s="43" t="s">
        <v>56</v>
      </c>
      <c r="M4" s="43" t="s">
        <v>57</v>
      </c>
      <c r="N4" s="43" t="s">
        <v>58</v>
      </c>
      <c r="O4" s="43" t="s">
        <v>59</v>
      </c>
      <c r="P4" s="43" t="s">
        <v>60</v>
      </c>
      <c r="Q4" s="13" t="s">
        <v>61</v>
      </c>
      <c r="S4" s="39"/>
      <c r="U4" s="40"/>
      <c r="V4" s="45"/>
      <c r="W4" s="11"/>
    </row>
    <row r="5" spans="1:41" ht="15" customHeight="1" x14ac:dyDescent="0.25">
      <c r="A5" s="6"/>
      <c r="B5" s="10"/>
      <c r="C5" s="14">
        <f>IF(DAY(JanSun1)=1,"",IF(AND(YEAR(JanSun1+1)=AñoCalendario,MONTH(JanSun1+1)=1),JanSun1+1,""))</f>
        <v>45292</v>
      </c>
      <c r="D5" s="46">
        <f>IF(DAY(JanSun1)=1,"",IF(AND(YEAR(JanSun1+2)=AñoCalendario,MONTH(JanSun1+2)=1),JanSun1+2,""))</f>
        <v>45293</v>
      </c>
      <c r="E5" s="46">
        <f>IF(DAY(JanSun1)=1,"",IF(AND(YEAR(JanSun1+3)=AñoCalendario,MONTH(JanSun1+3)=1),JanSun1+3,""))</f>
        <v>45294</v>
      </c>
      <c r="F5" s="46">
        <f>IF(DAY(JanSun1)=1,"",IF(AND(YEAR(JanSun1+4)=AñoCalendario,MONTH(JanSun1+4)=1),JanSun1+4,""))</f>
        <v>45295</v>
      </c>
      <c r="G5" s="47">
        <f>IF(DAY(JanSun1)=1,"",IF(AND(YEAR(JanSun1+5)=AñoCalendario,MONTH(JanSun1+5)=1),JanSun1+5,""))</f>
        <v>45296</v>
      </c>
      <c r="H5" s="46">
        <f>IF(DAY(JanSun1)=1,"",IF(AND(YEAR(JanSun1+6)=AñoCalendario,MONTH(JanSun1+6)=1),JanSun1+6,""))</f>
        <v>45297</v>
      </c>
      <c r="I5" s="15">
        <f>IF(DAY(JanSun1)=1,IF(AND(YEAR(JanSun1)=AñoCalendario,MONTH(JanSun1)=1),JanSun1,""),IF(AND(YEAR(JanSun1+7)=AñoCalendario,MONTH(JanSun1+7)=1),JanSun1+7,""))</f>
        <v>45298</v>
      </c>
      <c r="J5" s="46"/>
      <c r="K5" s="14" t="str">
        <f>IF(DAY(FebSun1)=1,"",IF(AND(YEAR(FebSun1+1)=AñoCalendario,MONTH(FebSun1+1)=2),FebSun1+1,""))</f>
        <v/>
      </c>
      <c r="L5" s="46" t="str">
        <f>IF(DAY(FebSun1)=1,"",IF(AND(YEAR(FebSun1+2)=AñoCalendario,MONTH(FebSun1+2)=2),FebSun1+2,""))</f>
        <v/>
      </c>
      <c r="M5" s="46" t="str">
        <f>IF(DAY(FebSun1)=1,"",IF(AND(YEAR(FebSun1+3)=AñoCalendario,MONTH(FebSun1+3)=2),FebSun1+3,""))</f>
        <v/>
      </c>
      <c r="N5" s="46">
        <f>IF(DAY(FebSun1)=1,"",IF(AND(YEAR(FebSun1+4)=AñoCalendario,MONTH(FebSun1+4)=2),FebSun1+4,""))</f>
        <v>45323</v>
      </c>
      <c r="O5" s="47">
        <f>IF(DAY(FebSun1)=1,"",IF(AND(YEAR(FebSun1+5)=AñoCalendario,MONTH(FebSun1+5)=2),FebSun1+5,""))</f>
        <v>45324</v>
      </c>
      <c r="P5" s="46">
        <f>IF(DAY(FebSun1)=1,"",IF(AND(YEAR(FebSun1+6)=AñoCalendario,MONTH(FebSun1+6)=2),FebSun1+6,""))</f>
        <v>45325</v>
      </c>
      <c r="Q5" s="15">
        <f>IF(DAY(FebSun1)=1,IF(AND(YEAR(FebSun1)=AñoCalendario,MONTH(FebSun1)=2),FebSun1,""),IF(AND(YEAR(FebSun1+7)=AñoCalendario,MONTH(FebSun1+7)=2),FebSun1+7,""))</f>
        <v>45326</v>
      </c>
      <c r="S5" s="39"/>
      <c r="U5" s="40"/>
      <c r="V5" s="48"/>
      <c r="W5" s="11"/>
    </row>
    <row r="6" spans="1:41" ht="15" customHeight="1" x14ac:dyDescent="0.25">
      <c r="A6" s="6"/>
      <c r="B6" s="10"/>
      <c r="C6" s="16">
        <f>IF(DAY(JanSun1)=1,IF(AND(YEAR(JanSun1+1)=AñoCalendario,MONTH(JanSun1+1)=1),JanSun1+1,""),IF(AND(YEAR(JanSun1+8)=AñoCalendario,MONTH(JanSun1+8)=1),JanSun1+8,""))</f>
        <v>45299</v>
      </c>
      <c r="D6" s="46">
        <f>IF(DAY(JanSun1)=1,IF(AND(YEAR(JanSun1+2)=AñoCalendario,MONTH(JanSun1+2)=1),JanSun1+2,""),IF(AND(YEAR(JanSun1+9)=AñoCalendario,MONTH(JanSun1+9)=1),JanSun1+9,""))</f>
        <v>45300</v>
      </c>
      <c r="E6" s="46">
        <f>IF(DAY(JanSun1)=1,IF(AND(YEAR(JanSun1+3)=AñoCalendario,MONTH(JanSun1+3)=1),JanSun1+3,""),IF(AND(YEAR(JanSun1+10)=AñoCalendario,MONTH(JanSun1+10)=1),JanSun1+10,""))</f>
        <v>45301</v>
      </c>
      <c r="F6" s="46">
        <f>IF(DAY(JanSun1)=1,IF(AND(YEAR(JanSun1+4)=AñoCalendario,MONTH(JanSun1+4)=1),JanSun1+4,""),IF(AND(YEAR(JanSun1+11)=AñoCalendario,MONTH(JanSun1+11)=1),JanSun1+11,""))</f>
        <v>45302</v>
      </c>
      <c r="G6" s="46">
        <f>IF(DAY(JanSun1)=1,IF(AND(YEAR(JanSun1+5)=AñoCalendario,MONTH(JanSun1+5)=1),JanSun1+5,""),IF(AND(YEAR(JanSun1+12)=AñoCalendario,MONTH(JanSun1+12)=1),JanSun1+12,""))</f>
        <v>45303</v>
      </c>
      <c r="H6" s="46">
        <f>IF(DAY(JanSun1)=1,IF(AND(YEAR(JanSun1+6)=AñoCalendario,MONTH(JanSun1+6)=1),JanSun1+6,""),IF(AND(YEAR(JanSun1+13)=AñoCalendario,MONTH(JanSun1+13)=1),JanSun1+13,""))</f>
        <v>45304</v>
      </c>
      <c r="I6" s="15">
        <f>IF(DAY(JanSun1)=1,IF(AND(YEAR(JanSun1+7)=AñoCalendario,MONTH(JanSun1+7)=1),JanSun1+7,""),IF(AND(YEAR(JanSun1+14)=AñoCalendario,MONTH(JanSun1+14)=1),JanSun1+14,""))</f>
        <v>45305</v>
      </c>
      <c r="J6" s="46"/>
      <c r="K6" s="16">
        <f>IF(DAY(FebSun1)=1,IF(AND(YEAR(FebSun1+1)=AñoCalendario,MONTH(FebSun1+1)=2),FebSun1+1,""),IF(AND(YEAR(FebSun1+8)=AñoCalendario,MONTH(FebSun1+8)=2),FebSun1+8,""))</f>
        <v>45327</v>
      </c>
      <c r="L6" s="46">
        <f>IF(DAY(FebSun1)=1,IF(AND(YEAR(FebSun1+2)=AñoCalendario,MONTH(FebSun1+2)=2),FebSun1+2,""),IF(AND(YEAR(FebSun1+9)=AñoCalendario,MONTH(FebSun1+9)=2),FebSun1+9,""))</f>
        <v>45328</v>
      </c>
      <c r="M6" s="46">
        <f>IF(DAY(FebSun1)=1,IF(AND(YEAR(FebSun1+3)=AñoCalendario,MONTH(FebSun1+3)=2),FebSun1+3,""),IF(AND(YEAR(FebSun1+10)=AñoCalendario,MONTH(FebSun1+10)=2),FebSun1+10,""))</f>
        <v>45329</v>
      </c>
      <c r="N6" s="46">
        <f>IF(DAY(FebSun1)=1,IF(AND(YEAR(FebSun1+4)=AñoCalendario,MONTH(FebSun1+4)=2),FebSun1+4,""),IF(AND(YEAR(FebSun1+11)=AñoCalendario,MONTH(FebSun1+11)=2),FebSun1+11,""))</f>
        <v>45330</v>
      </c>
      <c r="O6" s="46">
        <f>IF(DAY(FebSun1)=1,IF(AND(YEAR(FebSun1+5)=AñoCalendario,MONTH(FebSun1+5)=2),FebSun1+5,""),IF(AND(YEAR(FebSun1+12)=AñoCalendario,MONTH(FebSun1+12)=2),FebSun1+12,""))</f>
        <v>45331</v>
      </c>
      <c r="P6" s="46">
        <f>IF(DAY(FebSun1)=1,IF(AND(YEAR(FebSun1+6)=AñoCalendario,MONTH(FebSun1+6)=2),FebSun1+6,""),IF(AND(YEAR(FebSun1+13)=AñoCalendario,MONTH(FebSun1+13)=2),FebSun1+13,""))</f>
        <v>45332</v>
      </c>
      <c r="Q6" s="15">
        <f>IF(DAY(FebSun1)=1,IF(AND(YEAR(FebSun1+7)=AñoCalendario,MONTH(FebSun1+7)=2),FebSun1+7,""),IF(AND(YEAR(FebSun1+14)=AñoCalendario,MONTH(FebSun1+14)=2),FebSun1+14,""))</f>
        <v>45333</v>
      </c>
      <c r="S6" s="39"/>
      <c r="W6" s="17"/>
    </row>
    <row r="7" spans="1:41" ht="15" customHeight="1" x14ac:dyDescent="0.25">
      <c r="B7" s="10"/>
      <c r="C7" s="14">
        <f>IF(DAY(JanSun1)=1,IF(AND(YEAR(JanSun1+8)=AñoCalendario,MONTH(JanSun1+8)=1),JanSun1+8,""),IF(AND(YEAR(JanSun1+15)=AñoCalendario,MONTH(JanSun1+15)=1),JanSun1+15,""))</f>
        <v>45306</v>
      </c>
      <c r="D7" s="46">
        <f>IF(DAY(JanSun1)=1,IF(AND(YEAR(JanSun1+9)=AñoCalendario,MONTH(JanSun1+9)=1),JanSun1+9,""),IF(AND(YEAR(JanSun1+16)=AñoCalendario,MONTH(JanSun1+16)=1),JanSun1+16,""))</f>
        <v>45307</v>
      </c>
      <c r="E7" s="46">
        <f>IF(DAY(JanSun1)=1,IF(AND(YEAR(JanSun1+10)=AñoCalendario,MONTH(JanSun1+10)=1),JanSun1+10,""),IF(AND(YEAR(JanSun1+17)=AñoCalendario,MONTH(JanSun1+17)=1),JanSun1+17,""))</f>
        <v>45308</v>
      </c>
      <c r="F7" s="46">
        <f>IF(DAY(JanSun1)=1,IF(AND(YEAR(JanSun1+11)=AñoCalendario,MONTH(JanSun1+11)=1),JanSun1+11,""),IF(AND(YEAR(JanSun1+18)=AñoCalendario,MONTH(JanSun1+18)=1),JanSun1+18,""))</f>
        <v>45309</v>
      </c>
      <c r="G7" s="49">
        <f>IF(DAY(JanSun1)=1,IF(AND(YEAR(JanSun1+12)=AñoCalendario,MONTH(JanSun1+12)=1),JanSun1+12,""),IF(AND(YEAR(JanSun1+19)=AñoCalendario,MONTH(JanSun1+19)=1),JanSun1+19,""))</f>
        <v>45310</v>
      </c>
      <c r="H7" s="46">
        <f>IF(DAY(JanSun1)=1,IF(AND(YEAR(JanSun1+13)=AñoCalendario,MONTH(JanSun1+13)=1),JanSun1+13,""),IF(AND(YEAR(JanSun1+20)=AñoCalendario,MONTH(JanSun1+20)=1),JanSun1+20,""))</f>
        <v>45311</v>
      </c>
      <c r="I7" s="15">
        <f>IF(DAY(JanSun1)=1,IF(AND(YEAR(JanSun1+14)=AñoCalendario,MONTH(JanSun1+14)=1),JanSun1+14,""),IF(AND(YEAR(JanSun1+21)=AñoCalendario,MONTH(JanSun1+21)=1),JanSun1+21,""))</f>
        <v>45312</v>
      </c>
      <c r="J7" s="46"/>
      <c r="K7" s="14">
        <f>IF(DAY(FebSun1)=1,IF(AND(YEAR(FebSun1+8)=AñoCalendario,MONTH(FebSun1+8)=2),FebSun1+8,""),IF(AND(YEAR(FebSun1+15)=AñoCalendario,MONTH(FebSun1+15)=2),FebSun1+15,""))</f>
        <v>45334</v>
      </c>
      <c r="L7" s="46">
        <f>IF(DAY(FebSun1)=1,IF(AND(YEAR(FebSun1+9)=AñoCalendario,MONTH(FebSun1+9)=2),FebSun1+9,""),IF(AND(YEAR(FebSun1+16)=AñoCalendario,MONTH(FebSun1+16)=2),FebSun1+16,""))</f>
        <v>45335</v>
      </c>
      <c r="M7" s="46">
        <f>IF(DAY(FebSun1)=1,IF(AND(YEAR(FebSun1+10)=AñoCalendario,MONTH(FebSun1+10)=2),FebSun1+10,""),IF(AND(YEAR(FebSun1+17)=AñoCalendario,MONTH(FebSun1+17)=2),FebSun1+17,""))</f>
        <v>45336</v>
      </c>
      <c r="N7" s="46">
        <f>IF(DAY(FebSun1)=1,IF(AND(YEAR(FebSun1+11)=AñoCalendario,MONTH(FebSun1+11)=2),FebSun1+11,""),IF(AND(YEAR(FebSun1+18)=AñoCalendario,MONTH(FebSun1+18)=2),FebSun1+18,""))</f>
        <v>45337</v>
      </c>
      <c r="O7" s="49">
        <f>IF(DAY(FebSun1)=1,IF(AND(YEAR(FebSun1+12)=AñoCalendario,MONTH(FebSun1+12)=2),FebSun1+12,""),IF(AND(YEAR(FebSun1+19)=AñoCalendario,MONTH(FebSun1+19)=2),FebSun1+19,""))</f>
        <v>45338</v>
      </c>
      <c r="P7" s="46">
        <f>IF(DAY(FebSun1)=1,IF(AND(YEAR(FebSun1+13)=AñoCalendario,MONTH(FebSun1+13)=2),FebSun1+13,""),IF(AND(YEAR(FebSun1+20)=AñoCalendario,MONTH(FebSun1+20)=2),FebSun1+20,""))</f>
        <v>45339</v>
      </c>
      <c r="Q7" s="15">
        <f>IF(DAY(FebSun1)=1,IF(AND(YEAR(FebSun1+14)=AñoCalendario,MONTH(FebSun1+14)=2),FebSun1+14,""),IF(AND(YEAR(FebSun1+21)=AñoCalendario,MONTH(FebSun1+21)=2),FebSun1+21,""))</f>
        <v>45340</v>
      </c>
      <c r="S7" s="39"/>
      <c r="U7" s="82" t="s">
        <v>62</v>
      </c>
      <c r="V7" s="83"/>
      <c r="W7" s="84"/>
    </row>
    <row r="8" spans="1:41" ht="15" customHeight="1" x14ac:dyDescent="0.25">
      <c r="B8" s="10"/>
      <c r="C8" s="16">
        <f>IF(DAY(JanSun1)=1,IF(AND(YEAR(JanSun1+15)=AñoCalendario,MONTH(JanSun1+15)=1),JanSun1+15,""),IF(AND(YEAR(JanSun1+22)=AñoCalendario,MONTH(JanSun1+22)=1),JanSun1+22,""))</f>
        <v>45313</v>
      </c>
      <c r="D8" s="46">
        <f>IF(DAY(JanSun1)=1,IF(AND(YEAR(JanSun1+16)=AñoCalendario,MONTH(JanSun1+16)=1),JanSun1+16,""),IF(AND(YEAR(JanSun1+23)=AñoCalendario,MONTH(JanSun1+23)=1),JanSun1+23,""))</f>
        <v>45314</v>
      </c>
      <c r="E8" s="46">
        <f>IF(DAY(JanSun1)=1,IF(AND(YEAR(JanSun1+17)=AñoCalendario,MONTH(JanSun1+17)=1),JanSun1+17,""),IF(AND(YEAR(JanSun1+24)=AñoCalendario,MONTH(JanSun1+24)=1),JanSun1+24,""))</f>
        <v>45315</v>
      </c>
      <c r="F8" s="46">
        <f>IF(DAY(JanSun1)=1,IF(AND(YEAR(JanSun1+18)=AñoCalendario,MONTH(JanSun1+18)=1),JanSun1+18,""),IF(AND(YEAR(JanSun1+25)=AñoCalendario,MONTH(JanSun1+25)=1),JanSun1+25,""))</f>
        <v>45316</v>
      </c>
      <c r="G8" s="46">
        <f>IF(DAY(JanSun1)=1,IF(AND(YEAR(JanSun1+19)=AñoCalendario,MONTH(JanSun1+19)=1),JanSun1+19,""),IF(AND(YEAR(JanSun1+26)=AñoCalendario,MONTH(JanSun1+26)=1),JanSun1+26,""))</f>
        <v>45317</v>
      </c>
      <c r="H8" s="46">
        <f>IF(DAY(JanSun1)=1,IF(AND(YEAR(JanSun1+20)=AñoCalendario,MONTH(JanSun1+20)=1),JanSun1+20,""),IF(AND(YEAR(JanSun1+27)=AñoCalendario,MONTH(JanSun1+27)=1),JanSun1+27,""))</f>
        <v>45318</v>
      </c>
      <c r="I8" s="15">
        <f>IF(DAY(JanSun1)=1,IF(AND(YEAR(JanSun1+21)=AñoCalendario,MONTH(JanSun1+21)=1),JanSun1+21,""),IF(AND(YEAR(JanSun1+28)=AñoCalendario,MONTH(JanSun1+28)=1),JanSun1+28,""))</f>
        <v>45319</v>
      </c>
      <c r="J8" s="46"/>
      <c r="K8" s="16">
        <f>IF(DAY(FebSun1)=1,IF(AND(YEAR(FebSun1+15)=AñoCalendario,MONTH(FebSun1+15)=2),FebSun1+15,""),IF(AND(YEAR(FebSun1+22)=AñoCalendario,MONTH(FebSun1+22)=2),FebSun1+22,""))</f>
        <v>45341</v>
      </c>
      <c r="L8" s="46">
        <f>IF(DAY(FebSun1)=1,IF(AND(YEAR(FebSun1+16)=AñoCalendario,MONTH(FebSun1+16)=2),FebSun1+16,""),IF(AND(YEAR(FebSun1+23)=AñoCalendario,MONTH(FebSun1+23)=2),FebSun1+23,""))</f>
        <v>45342</v>
      </c>
      <c r="M8" s="46">
        <f>IF(DAY(FebSun1)=1,IF(AND(YEAR(FebSun1+17)=AñoCalendario,MONTH(FebSun1+17)=2),FebSun1+17,""),IF(AND(YEAR(FebSun1+24)=AñoCalendario,MONTH(FebSun1+24)=2),FebSun1+24,""))</f>
        <v>45343</v>
      </c>
      <c r="N8" s="46">
        <f>IF(DAY(FebSun1)=1,IF(AND(YEAR(FebSun1+18)=AñoCalendario,MONTH(FebSun1+18)=2),FebSun1+18,""),IF(AND(YEAR(FebSun1+25)=AñoCalendario,MONTH(FebSun1+25)=2),FebSun1+25,""))</f>
        <v>45344</v>
      </c>
      <c r="O8" s="46">
        <f>IF(DAY(FebSun1)=1,IF(AND(YEAR(FebSun1+19)=AñoCalendario,MONTH(FebSun1+19)=2),FebSun1+19,""),IF(AND(YEAR(FebSun1+26)=AñoCalendario,MONTH(FebSun1+26)=2),FebSun1+26,""))</f>
        <v>45345</v>
      </c>
      <c r="P8" s="46">
        <f>IF(DAY(FebSun1)=1,IF(AND(YEAR(FebSun1+20)=AñoCalendario,MONTH(FebSun1+20)=2),FebSun1+20,""),IF(AND(YEAR(FebSun1+27)=AñoCalendario,MONTH(FebSun1+27)=2),FebSun1+27,""))</f>
        <v>45346</v>
      </c>
      <c r="Q8" s="15">
        <f>IF(DAY(FebSun1)=1,IF(AND(YEAR(FebSun1+21)=AñoCalendario,MONTH(FebSun1+21)=2),FebSun1+21,""),IF(AND(YEAR(FebSun1+28)=AñoCalendario,MONTH(FebSun1+28)=2),FebSun1+28,""))</f>
        <v>45347</v>
      </c>
      <c r="S8" s="39"/>
      <c r="U8" s="85"/>
      <c r="V8" s="85"/>
      <c r="W8" s="86"/>
    </row>
    <row r="9" spans="1:41" ht="15" customHeight="1" x14ac:dyDescent="0.25">
      <c r="B9" s="10"/>
      <c r="C9" s="14">
        <f>IF(DAY(JanSun1)=1,IF(AND(YEAR(JanSun1+22)=AñoCalendario,MONTH(JanSun1+22)=1),JanSun1+22,""),IF(AND(YEAR(JanSun1+29)=AñoCalendario,MONTH(JanSun1+29)=1),JanSun1+29,""))</f>
        <v>45320</v>
      </c>
      <c r="D9" s="46">
        <f>IF(DAY(JanSun1)=1,IF(AND(YEAR(JanSun1+23)=AñoCalendario,MONTH(JanSun1+23)=1),JanSun1+23,""),IF(AND(YEAR(JanSun1+30)=AñoCalendario,MONTH(JanSun1+30)=1),JanSun1+30,""))</f>
        <v>45321</v>
      </c>
      <c r="E9" s="46">
        <f>IF(DAY(JanSun1)=1,IF(AND(YEAR(JanSun1+24)=AñoCalendario,MONTH(JanSun1+24)=1),JanSun1+24,""),IF(AND(YEAR(JanSun1+31)=AñoCalendario,MONTH(JanSun1+31)=1),JanSun1+31,""))</f>
        <v>45322</v>
      </c>
      <c r="F9" s="46" t="str">
        <f>IF(DAY(JanSun1)=1,IF(AND(YEAR(JanSun1+25)=AñoCalendario,MONTH(JanSun1+25)=1),JanSun1+25,""),IF(AND(YEAR(JanSun1+32)=AñoCalendario,MONTH(JanSun1+32)=1),JanSun1+32,""))</f>
        <v/>
      </c>
      <c r="G9" s="46" t="str">
        <f>IF(DAY(JanSun1)=1,IF(AND(YEAR(JanSun1+26)=AñoCalendario,MONTH(JanSun1+26)=1),JanSun1+26,""),IF(AND(YEAR(JanSun1+33)=AñoCalendario,MONTH(JanSun1+33)=1),JanSun1+33,""))</f>
        <v/>
      </c>
      <c r="H9" s="46" t="str">
        <f>IF(DAY(JanSun1)=1,IF(AND(YEAR(JanSun1+27)=AñoCalendario,MONTH(JanSun1+27)=1),JanSun1+27,""),IF(AND(YEAR(JanSun1+34)=AñoCalendario,MONTH(JanSun1+34)=1),JanSun1+34,""))</f>
        <v/>
      </c>
      <c r="I9" s="15" t="str">
        <f>IF(DAY(JanSun1)=1,IF(AND(YEAR(JanSun1+28)=AñoCalendario,MONTH(JanSun1+28)=1),JanSun1+28,""),IF(AND(YEAR(JanSun1+35)=AñoCalendario,MONTH(JanSun1+35)=1),JanSun1+35,""))</f>
        <v/>
      </c>
      <c r="J9" s="46"/>
      <c r="K9" s="14">
        <f>IF(DAY(FebSun1)=1,IF(AND(YEAR(FebSun1+22)=AñoCalendario,MONTH(FebSun1+22)=2),FebSun1+22,""),IF(AND(YEAR(FebSun1+29)=AñoCalendario,MONTH(FebSun1+29)=2),FebSun1+29,""))</f>
        <v>45348</v>
      </c>
      <c r="L9" s="46">
        <f>IF(DAY(FebSun1)=1,IF(AND(YEAR(FebSun1+23)=AñoCalendario,MONTH(FebSun1+23)=2),FebSun1+23,""),IF(AND(YEAR(FebSun1+30)=AñoCalendario,MONTH(FebSun1+30)=2),FebSun1+30,""))</f>
        <v>45349</v>
      </c>
      <c r="M9" s="46">
        <f>IF(DAY(FebSun1)=1,IF(AND(YEAR(FebSun1+24)=AñoCalendario,MONTH(FebSun1+24)=2),FebSun1+24,""),IF(AND(YEAR(FebSun1+31)=AñoCalendario,MONTH(FebSun1+31)=2),FebSun1+31,""))</f>
        <v>45350</v>
      </c>
      <c r="N9" s="46">
        <f>IF(DAY(FebSun1)=1,IF(AND(YEAR(FebSun1+25)=AñoCalendario,MONTH(FebSun1+25)=2),FebSun1+25,""),IF(AND(YEAR(FebSun1+32)=AñoCalendario,MONTH(FebSun1+32)=2),FebSun1+32,""))</f>
        <v>45351</v>
      </c>
      <c r="O9" s="46" t="str">
        <f>IF(DAY(FebSun1)=1,IF(AND(YEAR(FebSun1+26)=AñoCalendario,MONTH(FebSun1+26)=2),FebSun1+26,""),IF(AND(YEAR(FebSun1+33)=AñoCalendario,MONTH(FebSun1+33)=2),FebSun1+33,""))</f>
        <v/>
      </c>
      <c r="P9" s="46" t="str">
        <f>IF(DAY(FebSun1)=1,IF(AND(YEAR(FebSun1+27)=AñoCalendario,MONTH(FebSun1+27)=2),FebSun1+27,""),IF(AND(YEAR(FebSun1+34)=AñoCalendario,MONTH(FebSun1+34)=2),FebSun1+34,""))</f>
        <v/>
      </c>
      <c r="Q9" s="15" t="str">
        <f>IF(DAY(FebSun1)=1,IF(AND(YEAR(FebSun1+28)=AñoCalendario,MONTH(FebSun1+28)=2),FebSun1+28,""),IF(AND(YEAR(FebSun1+35)=AñoCalendario,MONTH(FebSun1+35)=2),FebSun1+35,""))</f>
        <v/>
      </c>
      <c r="S9" s="39"/>
      <c r="W9" s="17"/>
    </row>
    <row r="10" spans="1:41" ht="15" customHeight="1" thickBot="1" x14ac:dyDescent="0.3">
      <c r="B10" s="10"/>
      <c r="C10" s="18" t="str">
        <f>IF(DAY(JanSun1)=1,IF(AND(YEAR(JanSun1+29)=AñoCalendario,MONTH(JanSun1+29)=1),JanSun1+29,""),IF(AND(YEAR(JanSun1+36)=AñoCalendario,MONTH(JanSun1+36)=1),JanSun1+36,""))</f>
        <v/>
      </c>
      <c r="D10" s="19" t="str">
        <f>IF(DAY(JanSun1)=1,IF(AND(YEAR(JanSun1+30)=AñoCalendario,MONTH(JanSun1+30)=1),JanSun1+30,""),IF(AND(YEAR(JanSun1+37)=AñoCalendario,MONTH(JanSun1+37)=1),JanSun1+37,""))</f>
        <v/>
      </c>
      <c r="E10" s="19" t="str">
        <f>IF(DAY(JanSun1)=1,IF(AND(YEAR(JanSun1+31)=AñoCalendario,MONTH(JanSun1+31)=1),JanSun1+31,""),IF(AND(YEAR(JanSun1+38)=AñoCalendario,MONTH(JanSun1+38)=1),JanSun1+38,""))</f>
        <v/>
      </c>
      <c r="F10" s="19" t="str">
        <f>IF(DAY(JanSun1)=1,IF(AND(YEAR(JanSun1+32)=AñoCalendario,MONTH(JanSun1+32)=1),JanSun1+32,""),IF(AND(YEAR(JanSun1+39)=AñoCalendario,MONTH(JanSun1+39)=1),JanSun1+39,""))</f>
        <v/>
      </c>
      <c r="G10" s="19" t="str">
        <f>IF(DAY(JanSun1)=1,IF(AND(YEAR(JanSun1+33)=AñoCalendario,MONTH(JanSun1+33)=1),JanSun1+33,""),IF(AND(YEAR(JanSun1+40)=AñoCalendario,MONTH(JanSun1+40)=1),JanSun1+40,""))</f>
        <v/>
      </c>
      <c r="H10" s="19" t="str">
        <f>IF(DAY(JanSun1)=1,IF(AND(YEAR(JanSun1+34)=AñoCalendario,MONTH(JanSun1+34)=1),JanSun1+34,""),IF(AND(YEAR(JanSun1+41)=AñoCalendario,MONTH(JanSun1+41)=1),JanSun1+41,""))</f>
        <v/>
      </c>
      <c r="I10" s="20" t="str">
        <f>IF(DAY(JanSun1)=1,IF(AND(YEAR(JanSun1+35)=AñoCalendario,MONTH(JanSun1+35)=1),JanSun1+35,""),IF(AND(YEAR(JanSun1+42)=AñoCalendario,MONTH(JanSun1+42)=1),JanSun1+42,""))</f>
        <v/>
      </c>
      <c r="J10" s="46"/>
      <c r="K10" s="18" t="str">
        <f>IF(DAY(FebSun1)=1,IF(AND(YEAR(FebSun1+29)=AñoCalendario,MONTH(FebSun1+29)=2),FebSun1+29,""),IF(AND(YEAR(FebSun1+36)=AñoCalendario,MONTH(FebSun1+36)=2),FebSun1+36,""))</f>
        <v/>
      </c>
      <c r="L10" s="19" t="str">
        <f>IF(DAY(FebSun1)=1,IF(AND(YEAR(FebSun1+30)=AñoCalendario,MONTH(FebSun1+30)=2),FebSun1+30,""),IF(AND(YEAR(FebSun1+37)=AñoCalendario,MONTH(FebSun1+37)=2),FebSun1+37,""))</f>
        <v/>
      </c>
      <c r="M10" s="19" t="str">
        <f>IF(DAY(FebSun1)=1,IF(AND(YEAR(FebSun1+31)=AñoCalendario,MONTH(FebSun1+31)=2),FebSun1+31,""),IF(AND(YEAR(FebSun1+38)=AñoCalendario,MONTH(FebSun1+38)=2),FebSun1+38,""))</f>
        <v/>
      </c>
      <c r="N10" s="19" t="str">
        <f>IF(DAY(FebSun1)=1,IF(AND(YEAR(FebSun1+32)=AñoCalendario,MONTH(FebSun1+32)=2),FebSun1+32,""),IF(AND(YEAR(FebSun1+39)=AñoCalendario,MONTH(FebSun1+39)=2),FebSun1+39,""))</f>
        <v/>
      </c>
      <c r="O10" s="19" t="str">
        <f>IF(DAY(FebSun1)=1,IF(AND(YEAR(FebSun1+33)=AñoCalendario,MONTH(FebSun1+33)=2),FebSun1+33,""),IF(AND(YEAR(FebSun1+40)=AñoCalendario,MONTH(FebSun1+40)=2),FebSun1+40,""))</f>
        <v/>
      </c>
      <c r="P10" s="19" t="str">
        <f>IF(DAY(FebSun1)=1,IF(AND(YEAR(FebSun1+34)=AñoCalendario,MONTH(FebSun1+34)=2),FebSun1+34,""),IF(AND(YEAR(FebSun1+41)=AñoCalendario,MONTH(FebSun1+41)=2),FebSun1+41,""))</f>
        <v/>
      </c>
      <c r="Q10" s="20" t="str">
        <f>IF(DAY(FebSun1)=1,IF(AND(YEAR(FebSun1+35)=AñoCalendario,MONTH(FebSun1+35)=2),FebSun1+35,""),IF(AND(YEAR(FebSun1+42)=AñoCalendario,MONTH(FebSun1+42)=2),FebSun1+42,""))</f>
        <v/>
      </c>
      <c r="S10" s="39"/>
      <c r="U10" s="50"/>
      <c r="V10" s="45" t="s">
        <v>63</v>
      </c>
      <c r="W10" s="11"/>
    </row>
    <row r="11" spans="1:41" ht="15" customHeight="1" thickBot="1" x14ac:dyDescent="0.3">
      <c r="B11" s="10"/>
      <c r="C11" s="46"/>
      <c r="D11" s="46"/>
      <c r="E11" s="46"/>
      <c r="F11" s="46"/>
      <c r="G11" s="46"/>
      <c r="H11" s="46"/>
      <c r="I11" s="46"/>
      <c r="J11" s="46"/>
      <c r="K11" s="46"/>
      <c r="L11" s="46"/>
      <c r="M11" s="46"/>
      <c r="N11" s="46"/>
      <c r="O11" s="46"/>
      <c r="P11" s="46"/>
      <c r="Q11" s="46"/>
      <c r="S11" s="39"/>
      <c r="U11" s="51"/>
      <c r="V11" s="45" t="s">
        <v>64</v>
      </c>
      <c r="W11" s="11"/>
    </row>
    <row r="12" spans="1:41" ht="15" customHeight="1" x14ac:dyDescent="0.25">
      <c r="A12" s="6" t="s">
        <v>65</v>
      </c>
      <c r="B12" s="10"/>
      <c r="C12" s="91" t="s">
        <v>66</v>
      </c>
      <c r="D12" s="92"/>
      <c r="E12" s="92"/>
      <c r="F12" s="92"/>
      <c r="G12" s="92"/>
      <c r="H12" s="92"/>
      <c r="I12" s="93"/>
      <c r="J12" s="52"/>
      <c r="K12" s="91" t="s">
        <v>67</v>
      </c>
      <c r="L12" s="92"/>
      <c r="M12" s="92"/>
      <c r="N12" s="92"/>
      <c r="O12" s="92"/>
      <c r="P12" s="92"/>
      <c r="Q12" s="93"/>
      <c r="S12" s="53"/>
      <c r="T12" s="21"/>
      <c r="U12" s="54"/>
      <c r="V12" s="45" t="s">
        <v>68</v>
      </c>
      <c r="W12" s="11"/>
      <c r="X12" s="21"/>
      <c r="Y12" s="21"/>
      <c r="AA12" s="21"/>
      <c r="AB12" s="21"/>
      <c r="AC12" s="21"/>
      <c r="AD12" s="21"/>
      <c r="AE12" s="21"/>
      <c r="AF12" s="21"/>
      <c r="AG12" s="21"/>
      <c r="AI12" s="21"/>
      <c r="AJ12" s="21"/>
      <c r="AK12" s="21"/>
      <c r="AL12" s="21"/>
      <c r="AM12" s="21"/>
      <c r="AN12" s="21"/>
      <c r="AO12" s="21"/>
    </row>
    <row r="13" spans="1:41" ht="15" customHeight="1" x14ac:dyDescent="0.25">
      <c r="A13" s="6" t="s">
        <v>69</v>
      </c>
      <c r="B13" s="10"/>
      <c r="C13" s="12" t="s">
        <v>55</v>
      </c>
      <c r="D13" s="43" t="s">
        <v>56</v>
      </c>
      <c r="E13" s="43" t="s">
        <v>70</v>
      </c>
      <c r="F13" s="43" t="s">
        <v>58</v>
      </c>
      <c r="G13" s="43" t="s">
        <v>59</v>
      </c>
      <c r="H13" s="43" t="s">
        <v>60</v>
      </c>
      <c r="I13" s="13" t="s">
        <v>61</v>
      </c>
      <c r="J13" s="41"/>
      <c r="K13" s="12" t="s">
        <v>55</v>
      </c>
      <c r="L13" s="43" t="s">
        <v>56</v>
      </c>
      <c r="M13" s="43" t="s">
        <v>70</v>
      </c>
      <c r="N13" s="43" t="s">
        <v>58</v>
      </c>
      <c r="O13" s="43" t="s">
        <v>59</v>
      </c>
      <c r="P13" s="43" t="s">
        <v>60</v>
      </c>
      <c r="Q13" s="13" t="s">
        <v>61</v>
      </c>
      <c r="S13" s="39"/>
      <c r="U13" s="40"/>
      <c r="V13" s="42"/>
      <c r="W13" s="11"/>
    </row>
    <row r="14" spans="1:41" ht="15" customHeight="1" x14ac:dyDescent="0.25">
      <c r="B14" s="10"/>
      <c r="C14" s="14" t="str">
        <f>IF(DAY(MarSun1)=1,"",IF(AND(YEAR(MarSun1+1)=AñoCalendario,MONTH(MarSun1+1)=3),MarSun1+1,""))</f>
        <v/>
      </c>
      <c r="D14" s="46" t="str">
        <f>IF(DAY(MarSun1)=1,"",IF(AND(YEAR(MarSun1+2)=AñoCalendario,MONTH(MarSun1+2)=3),MarSun1+2,""))</f>
        <v/>
      </c>
      <c r="E14" s="46" t="str">
        <f>IF(DAY(MarSun1)=1,"",IF(AND(YEAR(MarSun1+3)=AñoCalendario,MONTH(MarSun1+3)=3),MarSun1+3,""))</f>
        <v/>
      </c>
      <c r="F14" s="46" t="str">
        <f>IF(DAY(MarSun1)=1,"",IF(AND(YEAR(MarSun1+4)=AñoCalendario,MONTH(MarSun1+4)=3),MarSun1+4,""))</f>
        <v/>
      </c>
      <c r="G14" s="47">
        <f>IF(DAY(MarSun1)=1,"",IF(AND(YEAR(MarSun1+5)=AñoCalendario,MONTH(MarSun1+5)=3),MarSun1+5,""))</f>
        <v>45352</v>
      </c>
      <c r="H14" s="46">
        <f>IF(DAY(MarSun1)=1,"",IF(AND(YEAR(MarSun1+6)=AñoCalendario,MONTH(MarSun1+6)=3),MarSun1+6,""))</f>
        <v>45353</v>
      </c>
      <c r="I14" s="15">
        <f>IF(DAY(MarSun1)=1,IF(AND(YEAR(MarSun1)=AñoCalendario,MONTH(MarSun1)=3),MarSun1,""),IF(AND(YEAR(MarSun1+7)=AñoCalendario,MONTH(MarSun1+7)=3),MarSun1+7,""))</f>
        <v>45354</v>
      </c>
      <c r="J14" s="44"/>
      <c r="K14" s="14">
        <f>IF(DAY(AbrDom1)=1,"",IF(AND(YEAR(AbrDom1+1)=AñoCalendario,MONTH(AbrDom1+1)=4),AbrDom1+1,""))</f>
        <v>45383</v>
      </c>
      <c r="L14" s="46">
        <f>IF(DAY(AbrDom1)=1,"",IF(AND(YEAR(AbrDom1+2)=AñoCalendario,MONTH(AbrDom1+2)=4),AbrDom1+2,""))</f>
        <v>45384</v>
      </c>
      <c r="M14" s="46">
        <f>IF(DAY(AbrDom1)=1,"",IF(AND(YEAR(AbrDom1+3)=AñoCalendario,MONTH(AbrDom1+3)=4),AbrDom1+3,""))</f>
        <v>45385</v>
      </c>
      <c r="N14" s="46">
        <f>IF(DAY(AbrDom1)=1,"",IF(AND(YEAR(AbrDom1+4)=AñoCalendario,MONTH(AbrDom1+4)=4),AbrDom1+4,""))</f>
        <v>45386</v>
      </c>
      <c r="O14" s="47">
        <f>IF(DAY(AbrDom1)=1,"",IF(AND(YEAR(AbrDom1+5)=AñoCalendario,MONTH(AbrDom1+5)=4),AbrDom1+5,""))</f>
        <v>45387</v>
      </c>
      <c r="P14" s="46">
        <f>IF(DAY(AbrDom1)=1,"",IF(AND(YEAR(AbrDom1+6)=AñoCalendario,MONTH(AbrDom1+6)=4),AbrDom1+6,""))</f>
        <v>45388</v>
      </c>
      <c r="Q14" s="15">
        <f>IF(DAY(AbrDom1)=1,IF(AND(YEAR(AbrDom1)=AñoCalendario,MONTH(AbrDom1)=4),AbrDom1,""),IF(AND(YEAR(AbrDom1+7)=AñoCalendario,MONTH(AbrDom1+7)=4),AbrDom1+7,""))</f>
        <v>45389</v>
      </c>
      <c r="S14" s="39"/>
      <c r="U14" s="40"/>
      <c r="V14" s="45"/>
      <c r="W14" s="11"/>
    </row>
    <row r="15" spans="1:41" ht="15" customHeight="1" x14ac:dyDescent="0.25">
      <c r="A15" s="6"/>
      <c r="B15" s="10"/>
      <c r="C15" s="16">
        <f>IF(DAY(MarSun1)=1,IF(AND(YEAR(MarSun1+1)=AñoCalendario,MONTH(MarSun1+1)=3),MarSun1+1,""),IF(AND(YEAR(MarSun1+8)=AñoCalendario,MONTH(MarSun1+8)=3),MarSun1+8,""))</f>
        <v>45355</v>
      </c>
      <c r="D15" s="46">
        <f>IF(DAY(MarSun1)=1,IF(AND(YEAR(MarSun1+2)=AñoCalendario,MONTH(MarSun1+2)=3),MarSun1+2,""),IF(AND(YEAR(MarSun1+9)=AñoCalendario,MONTH(MarSun1+9)=3),MarSun1+9,""))</f>
        <v>45356</v>
      </c>
      <c r="E15" s="46">
        <f>IF(DAY(MarSun1)=1,IF(AND(YEAR(MarSun1+3)=AñoCalendario,MONTH(MarSun1+3)=3),MarSun1+3,""),IF(AND(YEAR(MarSun1+10)=AñoCalendario,MONTH(MarSun1+10)=3),MarSun1+10,""))</f>
        <v>45357</v>
      </c>
      <c r="F15" s="46">
        <f>IF(DAY(MarSun1)=1,IF(AND(YEAR(MarSun1+4)=AñoCalendario,MONTH(MarSun1+4)=3),MarSun1+4,""),IF(AND(YEAR(MarSun1+11)=AñoCalendario,MONTH(MarSun1+11)=3),MarSun1+11,""))</f>
        <v>45358</v>
      </c>
      <c r="G15" s="46">
        <f>IF(DAY(MarSun1)=1,IF(AND(YEAR(MarSun1+5)=AñoCalendario,MONTH(MarSun1+5)=3),MarSun1+5,""),IF(AND(YEAR(MarSun1+12)=AñoCalendario,MONTH(MarSun1+12)=3),MarSun1+12,""))</f>
        <v>45359</v>
      </c>
      <c r="H15" s="46">
        <f>IF(DAY(MarSun1)=1,IF(AND(YEAR(MarSun1+6)=AñoCalendario,MONTH(MarSun1+6)=3),MarSun1+6,""),IF(AND(YEAR(MarSun1+13)=AñoCalendario,MONTH(MarSun1+13)=3),MarSun1+13,""))</f>
        <v>45360</v>
      </c>
      <c r="I15" s="15">
        <f>IF(DAY(MarSun1)=1,IF(AND(YEAR(MarSun1+7)=AñoCalendario,MONTH(MarSun1+7)=3),MarSun1+7,""),IF(AND(YEAR(MarSun1+14)=AñoCalendario,MONTH(MarSun1+14)=3),MarSun1+14,""))</f>
        <v>45361</v>
      </c>
      <c r="J15" s="46"/>
      <c r="K15" s="16">
        <f>IF(DAY(AbrDom1)=1,IF(AND(YEAR(AbrDom1+1)=AñoCalendario,MONTH(AbrDom1+1)=4),AbrDom1+1,""),IF(AND(YEAR(AbrDom1+8)=AñoCalendario,MONTH(AbrDom1+8)=4),AbrDom1+8,""))</f>
        <v>45390</v>
      </c>
      <c r="L15" s="46">
        <f>IF(DAY(AbrDom1)=1,IF(AND(YEAR(AbrDom1+2)=AñoCalendario,MONTH(AbrDom1+2)=4),AbrDom1+2,""),IF(AND(YEAR(AbrDom1+9)=AñoCalendario,MONTH(AbrDom1+9)=4),AbrDom1+9,""))</f>
        <v>45391</v>
      </c>
      <c r="M15" s="46">
        <f>IF(DAY(AbrDom1)=1,IF(AND(YEAR(AbrDom1+3)=AñoCalendario,MONTH(AbrDom1+3)=4),AbrDom1+3,""),IF(AND(YEAR(AbrDom1+10)=AñoCalendario,MONTH(AbrDom1+10)=4),AbrDom1+10,""))</f>
        <v>45392</v>
      </c>
      <c r="N15" s="46">
        <f>IF(DAY(AbrDom1)=1,IF(AND(YEAR(AbrDom1+4)=AñoCalendario,MONTH(AbrDom1+4)=4),AbrDom1+4,""),IF(AND(YEAR(AbrDom1+11)=AñoCalendario,MONTH(AbrDom1+11)=4),AbrDom1+11,""))</f>
        <v>45393</v>
      </c>
      <c r="O15" s="46">
        <f>IF(DAY(AbrDom1)=1,IF(AND(YEAR(AbrDom1+5)=AñoCalendario,MONTH(AbrDom1+5)=4),AbrDom1+5,""),IF(AND(YEAR(AbrDom1+12)=AñoCalendario,MONTH(AbrDom1+12)=4),AbrDom1+12,""))</f>
        <v>45394</v>
      </c>
      <c r="P15" s="46">
        <f>IF(DAY(AbrDom1)=1,IF(AND(YEAR(AbrDom1+6)=AñoCalendario,MONTH(AbrDom1+6)=4),AbrDom1+6,""),IF(AND(YEAR(AbrDom1+13)=AñoCalendario,MONTH(AbrDom1+13)=4),AbrDom1+13,""))</f>
        <v>45395</v>
      </c>
      <c r="Q15" s="15">
        <f>IF(DAY(AbrDom1)=1,IF(AND(YEAR(AbrDom1+7)=AñoCalendario,MONTH(AbrDom1+7)=4),AbrDom1+7,""),IF(AND(YEAR(AbrDom1+14)=AñoCalendario,MONTH(AbrDom1+14)=4),AbrDom1+14,""))</f>
        <v>45396</v>
      </c>
      <c r="S15" s="39"/>
      <c r="U15" s="22" t="s">
        <v>71</v>
      </c>
      <c r="V15" s="23" t="s">
        <v>72</v>
      </c>
      <c r="W15" s="24" t="s">
        <v>73</v>
      </c>
    </row>
    <row r="16" spans="1:41" ht="15" customHeight="1" x14ac:dyDescent="0.25">
      <c r="B16" s="10"/>
      <c r="C16" s="14">
        <f>IF(DAY(MarSun1)=1,IF(AND(YEAR(MarSun1+8)=AñoCalendario,MONTH(MarSun1+8)=3),MarSun1+8,""),IF(AND(YEAR(MarSun1+15)=AñoCalendario,MONTH(MarSun1+15)=3),MarSun1+15,""))</f>
        <v>45362</v>
      </c>
      <c r="D16" s="46">
        <f>IF(DAY(MarSun1)=1,IF(AND(YEAR(MarSun1+9)=AñoCalendario,MONTH(MarSun1+9)=3),MarSun1+9,""),IF(AND(YEAR(MarSun1+16)=AñoCalendario,MONTH(MarSun1+16)=3),MarSun1+16,""))</f>
        <v>45363</v>
      </c>
      <c r="E16" s="46">
        <f>IF(DAY(MarSun1)=1,IF(AND(YEAR(MarSun1+10)=AñoCalendario,MONTH(MarSun1+10)=3),MarSun1+10,""),IF(AND(YEAR(MarSun1+17)=AñoCalendario,MONTH(MarSun1+17)=3),MarSun1+17,""))</f>
        <v>45364</v>
      </c>
      <c r="F16" s="46">
        <f>IF(DAY(MarSun1)=1,IF(AND(YEAR(MarSun1+11)=AñoCalendario,MONTH(MarSun1+11)=3),MarSun1+11,""),IF(AND(YEAR(MarSun1+18)=AñoCalendario,MONTH(MarSun1+18)=3),MarSun1+18,""))</f>
        <v>45365</v>
      </c>
      <c r="G16" s="49">
        <f>IF(DAY(MarSun1)=1,IF(AND(YEAR(MarSun1+12)=AñoCalendario,MONTH(MarSun1+12)=3),MarSun1+12,""),IF(AND(YEAR(MarSun1+19)=AñoCalendario,MONTH(MarSun1+19)=3),MarSun1+19,""))</f>
        <v>45366</v>
      </c>
      <c r="H16" s="46">
        <f>IF(DAY(MarSun1)=1,IF(AND(YEAR(MarSun1+13)=AñoCalendario,MONTH(MarSun1+13)=3),MarSun1+13,""),IF(AND(YEAR(MarSun1+20)=AñoCalendario,MONTH(MarSun1+20)=3),MarSun1+20,""))</f>
        <v>45367</v>
      </c>
      <c r="I16" s="15">
        <f>IF(DAY(MarSun1)=1,IF(AND(YEAR(MarSun1+14)=AñoCalendario,MONTH(MarSun1+14)=3),MarSun1+14,""),IF(AND(YEAR(MarSun1+21)=AñoCalendario,MONTH(MarSun1+21)=3),MarSun1+21,""))</f>
        <v>45368</v>
      </c>
      <c r="J16" s="46"/>
      <c r="K16" s="14">
        <f>IF(DAY(AbrDom1)=1,IF(AND(YEAR(AbrDom1+8)=AñoCalendario,MONTH(AbrDom1+8)=4),AbrDom1+8,""),IF(AND(YEAR(AbrDom1+15)=AñoCalendario,MONTH(AbrDom1+15)=4),AbrDom1+15,""))</f>
        <v>45397</v>
      </c>
      <c r="L16" s="46">
        <f>IF(DAY(AbrDom1)=1,IF(AND(YEAR(AbrDom1+9)=AñoCalendario,MONTH(AbrDom1+9)=4),AbrDom1+9,""),IF(AND(YEAR(AbrDom1+16)=AñoCalendario,MONTH(AbrDom1+16)=4),AbrDom1+16,""))</f>
        <v>45398</v>
      </c>
      <c r="M16" s="46">
        <f>IF(DAY(AbrDom1)=1,IF(AND(YEAR(AbrDom1+10)=AñoCalendario,MONTH(AbrDom1+10)=4),AbrDom1+10,""),IF(AND(YEAR(AbrDom1+17)=AñoCalendario,MONTH(AbrDom1+17)=4),AbrDom1+17,""))</f>
        <v>45399</v>
      </c>
      <c r="N16" s="46">
        <f>IF(DAY(AbrDom1)=1,IF(AND(YEAR(AbrDom1+11)=AñoCalendario,MONTH(AbrDom1+11)=4),AbrDom1+11,""),IF(AND(YEAR(AbrDom1+18)=AñoCalendario,MONTH(AbrDom1+18)=4),AbrDom1+18,""))</f>
        <v>45400</v>
      </c>
      <c r="O16" s="49">
        <f>IF(DAY(AbrDom1)=1,IF(AND(YEAR(AbrDom1+12)=AñoCalendario,MONTH(AbrDom1+12)=4),AbrDom1+12,""),IF(AND(YEAR(AbrDom1+19)=AñoCalendario,MONTH(AbrDom1+19)=4),AbrDom1+19,""))</f>
        <v>45401</v>
      </c>
      <c r="P16" s="46">
        <f>IF(DAY(AbrDom1)=1,IF(AND(YEAR(AbrDom1+13)=AñoCalendario,MONTH(AbrDom1+13)=4),AbrDom1+13,""),IF(AND(YEAR(AbrDom1+20)=AñoCalendario,MONTH(AbrDom1+20)=4),AbrDom1+20,""))</f>
        <v>45402</v>
      </c>
      <c r="Q16" s="15">
        <f>IF(DAY(AbrDom1)=1,IF(AND(YEAR(AbrDom1+14)=AñoCalendario,MONTH(AbrDom1+14)=4),AbrDom1+14,""),IF(AND(YEAR(AbrDom1+21)=AñoCalendario,MONTH(AbrDom1+21)=4),AbrDom1+21,""))</f>
        <v>45403</v>
      </c>
      <c r="S16" s="39"/>
      <c r="U16" s="97" t="s">
        <v>74</v>
      </c>
      <c r="V16" s="100" t="s">
        <v>75</v>
      </c>
      <c r="W16" s="103" t="s">
        <v>76</v>
      </c>
    </row>
    <row r="17" spans="1:41" ht="15" customHeight="1" x14ac:dyDescent="0.25">
      <c r="B17" s="10"/>
      <c r="C17" s="16">
        <f>IF(DAY(MarSun1)=1,IF(AND(YEAR(MarSun1+15)=AñoCalendario,MONTH(MarSun1+15)=3),MarSun1+15,""),IF(AND(YEAR(MarSun1+22)=AñoCalendario,MONTH(MarSun1+22)=3),MarSun1+22,""))</f>
        <v>45369</v>
      </c>
      <c r="D17" s="46">
        <f>IF(DAY(MarSun1)=1,IF(AND(YEAR(MarSun1+16)=AñoCalendario,MONTH(MarSun1+16)=3),MarSun1+16,""),IF(AND(YEAR(MarSun1+23)=AñoCalendario,MONTH(MarSun1+23)=3),MarSun1+23,""))</f>
        <v>45370</v>
      </c>
      <c r="E17" s="46">
        <f>IF(DAY(MarSun1)=1,IF(AND(YEAR(MarSun1+17)=AñoCalendario,MONTH(MarSun1+17)=3),MarSun1+17,""),IF(AND(YEAR(MarSun1+24)=AñoCalendario,MONTH(MarSun1+24)=3),MarSun1+24,""))</f>
        <v>45371</v>
      </c>
      <c r="F17" s="46">
        <f>IF(DAY(MarSun1)=1,IF(AND(YEAR(MarSun1+18)=AñoCalendario,MONTH(MarSun1+18)=3),MarSun1+18,""),IF(AND(YEAR(MarSun1+25)=AñoCalendario,MONTH(MarSun1+25)=3),MarSun1+25,""))</f>
        <v>45372</v>
      </c>
      <c r="G17" s="46">
        <f>IF(DAY(MarSun1)=1,IF(AND(YEAR(MarSun1+19)=AñoCalendario,MONTH(MarSun1+19)=3),MarSun1+19,""),IF(AND(YEAR(MarSun1+26)=AñoCalendario,MONTH(MarSun1+26)=3),MarSun1+26,""))</f>
        <v>45373</v>
      </c>
      <c r="H17" s="46">
        <f>IF(DAY(MarSun1)=1,IF(AND(YEAR(MarSun1+20)=AñoCalendario,MONTH(MarSun1+20)=3),MarSun1+20,""),IF(AND(YEAR(MarSun1+27)=AñoCalendario,MONTH(MarSun1+27)=3),MarSun1+27,""))</f>
        <v>45374</v>
      </c>
      <c r="I17" s="15">
        <f>IF(DAY(MarSun1)=1,IF(AND(YEAR(MarSun1+21)=AñoCalendario,MONTH(MarSun1+21)=3),MarSun1+21,""),IF(AND(YEAR(MarSun1+28)=AñoCalendario,MONTH(MarSun1+28)=3),MarSun1+28,""))</f>
        <v>45375</v>
      </c>
      <c r="J17" s="46"/>
      <c r="K17" s="16">
        <f>IF(DAY(AbrDom1)=1,IF(AND(YEAR(AbrDom1+15)=AñoCalendario,MONTH(AbrDom1+15)=4),AbrDom1+15,""),IF(AND(YEAR(AbrDom1+22)=AñoCalendario,MONTH(AbrDom1+22)=4),AbrDom1+22,""))</f>
        <v>45404</v>
      </c>
      <c r="L17" s="46">
        <f>IF(DAY(AbrDom1)=1,IF(AND(YEAR(AbrDom1+16)=AñoCalendario,MONTH(AbrDom1+16)=4),AbrDom1+16,""),IF(AND(YEAR(AbrDom1+23)=AñoCalendario,MONTH(AbrDom1+23)=4),AbrDom1+23,""))</f>
        <v>45405</v>
      </c>
      <c r="M17" s="46">
        <f>IF(DAY(AbrDom1)=1,IF(AND(YEAR(AbrDom1+17)=AñoCalendario,MONTH(AbrDom1+17)=4),AbrDom1+17,""),IF(AND(YEAR(AbrDom1+24)=AñoCalendario,MONTH(AbrDom1+24)=4),AbrDom1+24,""))</f>
        <v>45406</v>
      </c>
      <c r="N17" s="46">
        <f>IF(DAY(AbrDom1)=1,IF(AND(YEAR(AbrDom1+18)=AñoCalendario,MONTH(AbrDom1+18)=4),AbrDom1+18,""),IF(AND(YEAR(AbrDom1+25)=AñoCalendario,MONTH(AbrDom1+25)=4),AbrDom1+25,""))</f>
        <v>45407</v>
      </c>
      <c r="O17" s="46">
        <f>IF(DAY(AbrDom1)=1,IF(AND(YEAR(AbrDom1+19)=AñoCalendario,MONTH(AbrDom1+19)=4),AbrDom1+19,""),IF(AND(YEAR(AbrDom1+26)=AñoCalendario,MONTH(AbrDom1+26)=4),AbrDom1+26,""))</f>
        <v>45408</v>
      </c>
      <c r="P17" s="46">
        <f>IF(DAY(AbrDom1)=1,IF(AND(YEAR(AbrDom1+20)=AñoCalendario,MONTH(AbrDom1+20)=4),AbrDom1+20,""),IF(AND(YEAR(AbrDom1+27)=AñoCalendario,MONTH(AbrDom1+27)=4),AbrDom1+27,""))</f>
        <v>45409</v>
      </c>
      <c r="Q17" s="15">
        <f>IF(DAY(AbrDom1)=1,IF(AND(YEAR(AbrDom1+21)=AñoCalendario,MONTH(AbrDom1+21)=4),AbrDom1+21,""),IF(AND(YEAR(AbrDom1+28)=AñoCalendario,MONTH(AbrDom1+28)=4),AbrDom1+28,""))</f>
        <v>45410</v>
      </c>
      <c r="S17" s="39"/>
      <c r="U17" s="98"/>
      <c r="V17" s="101"/>
      <c r="W17" s="104"/>
    </row>
    <row r="18" spans="1:41" ht="15" customHeight="1" x14ac:dyDescent="0.25">
      <c r="B18" s="10"/>
      <c r="C18" s="14">
        <f>IF(DAY(MarSun1)=1,IF(AND(YEAR(MarSun1+22)=AñoCalendario,MONTH(MarSun1+22)=3),MarSun1+22,""),IF(AND(YEAR(MarSun1+29)=AñoCalendario,MONTH(MarSun1+29)=3),MarSun1+29,""))</f>
        <v>45376</v>
      </c>
      <c r="D18" s="46">
        <f>IF(DAY(MarSun1)=1,IF(AND(YEAR(MarSun1+23)=AñoCalendario,MONTH(MarSun1+23)=3),MarSun1+23,""),IF(AND(YEAR(MarSun1+30)=AñoCalendario,MONTH(MarSun1+30)=3),MarSun1+30,""))</f>
        <v>45377</v>
      </c>
      <c r="E18" s="46">
        <f>IF(DAY(MarSun1)=1,IF(AND(YEAR(MarSun1+24)=AñoCalendario,MONTH(MarSun1+24)=3),MarSun1+24,""),IF(AND(YEAR(MarSun1+31)=AñoCalendario,MONTH(MarSun1+31)=3),MarSun1+31,""))</f>
        <v>45378</v>
      </c>
      <c r="F18" s="46">
        <f>IF(DAY(MarSun1)=1,IF(AND(YEAR(MarSun1+25)=AñoCalendario,MONTH(MarSun1+25)=3),MarSun1+25,""),IF(AND(YEAR(MarSun1+32)=AñoCalendario,MONTH(MarSun1+32)=3),MarSun1+32,""))</f>
        <v>45379</v>
      </c>
      <c r="G18" s="46">
        <f>IF(DAY(MarSun1)=1,IF(AND(YEAR(MarSun1+26)=AñoCalendario,MONTH(MarSun1+26)=3),MarSun1+26,""),IF(AND(YEAR(MarSun1+33)=AñoCalendario,MONTH(MarSun1+33)=3),MarSun1+33,""))</f>
        <v>45380</v>
      </c>
      <c r="H18" s="46">
        <f>IF(DAY(MarSun1)=1,IF(AND(YEAR(MarSun1+27)=AñoCalendario,MONTH(MarSun1+27)=3),MarSun1+27,""),IF(AND(YEAR(MarSun1+34)=AñoCalendario,MONTH(MarSun1+34)=3),MarSun1+34,""))</f>
        <v>45381</v>
      </c>
      <c r="I18" s="15">
        <f>IF(DAY(MarSun1)=1,IF(AND(YEAR(MarSun1+28)=AñoCalendario,MONTH(MarSun1+28)=3),MarSun1+28,""),IF(AND(YEAR(MarSun1+35)=AñoCalendario,MONTH(MarSun1+35)=3),MarSun1+35,""))</f>
        <v>45382</v>
      </c>
      <c r="J18" s="46"/>
      <c r="K18" s="14">
        <f>IF(DAY(AbrDom1)=1,IF(AND(YEAR(AbrDom1+22)=AñoCalendario,MONTH(AbrDom1+22)=4),AbrDom1+22,""),IF(AND(YEAR(AbrDom1+29)=AñoCalendario,MONTH(AbrDom1+29)=4),AbrDom1+29,""))</f>
        <v>45411</v>
      </c>
      <c r="L18" s="46">
        <f>IF(DAY(AbrDom1)=1,IF(AND(YEAR(AbrDom1+23)=AñoCalendario,MONTH(AbrDom1+23)=4),AbrDom1+23,""),IF(AND(YEAR(AbrDom1+30)=AñoCalendario,MONTH(AbrDom1+30)=4),AbrDom1+30,""))</f>
        <v>45412</v>
      </c>
      <c r="M18" s="46" t="str">
        <f>IF(DAY(AbrDom1)=1,IF(AND(YEAR(AbrDom1+24)=AñoCalendario,MONTH(AbrDom1+24)=4),AbrDom1+24,""),IF(AND(YEAR(AbrDom1+31)=AñoCalendario,MONTH(AbrDom1+31)=4),AbrDom1+31,""))</f>
        <v/>
      </c>
      <c r="N18" s="46" t="str">
        <f>IF(DAY(AbrDom1)=1,IF(AND(YEAR(AbrDom1+25)=AñoCalendario,MONTH(AbrDom1+25)=4),AbrDom1+25,""),IF(AND(YEAR(AbrDom1+32)=AñoCalendario,MONTH(AbrDom1+32)=4),AbrDom1+32,""))</f>
        <v/>
      </c>
      <c r="O18" s="46" t="str">
        <f>IF(DAY(AbrDom1)=1,IF(AND(YEAR(AbrDom1+26)=AñoCalendario,MONTH(AbrDom1+26)=4),AbrDom1+26,""),IF(AND(YEAR(AbrDom1+33)=AñoCalendario,MONTH(AbrDom1+33)=4),AbrDom1+33,""))</f>
        <v/>
      </c>
      <c r="P18" s="46" t="str">
        <f>IF(DAY(AbrDom1)=1,IF(AND(YEAR(AbrDom1+27)=AñoCalendario,MONTH(AbrDom1+27)=4),AbrDom1+27,""),IF(AND(YEAR(AbrDom1+34)=AñoCalendario,MONTH(AbrDom1+34)=4),AbrDom1+34,""))</f>
        <v/>
      </c>
      <c r="Q18" s="15" t="str">
        <f>IF(DAY(AbrDom1)=1,IF(AND(YEAR(AbrDom1+28)=AñoCalendario,MONTH(AbrDom1+28)=4),AbrDom1+28,""),IF(AND(YEAR(AbrDom1+35)=AñoCalendario,MONTH(AbrDom1+35)=4),AbrDom1+35,""))</f>
        <v/>
      </c>
      <c r="S18" s="39"/>
      <c r="U18" s="98"/>
      <c r="V18" s="101"/>
      <c r="W18" s="104"/>
    </row>
    <row r="19" spans="1:41" ht="15" customHeight="1" thickBot="1" x14ac:dyDescent="0.3">
      <c r="B19" s="10"/>
      <c r="C19" s="18" t="str">
        <f>IF(DAY(MarSun1)=1,IF(AND(YEAR(MarSun1+29)=AñoCalendario,MONTH(MarSun1+29)=3),MarSun1+29,""),IF(AND(YEAR(MarSun1+36)=AñoCalendario,MONTH(MarSun1+36)=3),MarSun1+36,""))</f>
        <v/>
      </c>
      <c r="D19" s="19" t="str">
        <f>IF(DAY(MarSun1)=1,IF(AND(YEAR(MarSun1+30)=AñoCalendario,MONTH(MarSun1+30)=3),MarSun1+30,""),IF(AND(YEAR(MarSun1+37)=AñoCalendario,MONTH(MarSun1+37)=3),MarSun1+37,""))</f>
        <v/>
      </c>
      <c r="E19" s="19" t="str">
        <f>IF(DAY(MarSun1)=1,IF(AND(YEAR(MarSun1+31)=AñoCalendario,MONTH(MarSun1+31)=3),MarSun1+31,""),IF(AND(YEAR(MarSun1+38)=AñoCalendario,MONTH(MarSun1+38)=3),MarSun1+38,""))</f>
        <v/>
      </c>
      <c r="F19" s="19" t="str">
        <f>IF(DAY(MarSun1)=1,IF(AND(YEAR(MarSun1+32)=AñoCalendario,MONTH(MarSun1+32)=3),MarSun1+32,""),IF(AND(YEAR(MarSun1+39)=AñoCalendario,MONTH(MarSun1+39)=3),MarSun1+39,""))</f>
        <v/>
      </c>
      <c r="G19" s="19" t="str">
        <f>IF(DAY(MarSun1)=1,IF(AND(YEAR(MarSun1+33)=AñoCalendario,MONTH(MarSun1+33)=3),MarSun1+33,""),IF(AND(YEAR(MarSun1+40)=AñoCalendario,MONTH(MarSun1+40)=3),MarSun1+40,""))</f>
        <v/>
      </c>
      <c r="H19" s="19" t="str">
        <f>IF(DAY(MarSun1)=1,IF(AND(YEAR(MarSun1+34)=AñoCalendario,MONTH(MarSun1+34)=3),MarSun1+34,""),IF(AND(YEAR(MarSun1+41)=AñoCalendario,MONTH(MarSun1+41)=3),MarSun1+41,""))</f>
        <v/>
      </c>
      <c r="I19" s="20" t="str">
        <f>IF(DAY(MarSun1)=1,IF(AND(YEAR(MarSun1+35)=AñoCalendario,MONTH(MarSun1+35)=3),MarSun1+35,""),IF(AND(YEAR(MarSun1+42)=AñoCalendario,MONTH(MarSun1+42)=3),MarSun1+42,""))</f>
        <v/>
      </c>
      <c r="J19" s="46"/>
      <c r="K19" s="18" t="str">
        <f>IF(DAY(AbrDom1)=1,IF(AND(YEAR(AbrDom1+29)=AñoCalendario,MONTH(AbrDom1+29)=4),AbrDom1+29,""),IF(AND(YEAR(AbrDom1+36)=AñoCalendario,MONTH(AbrDom1+36)=4),AbrDom1+36,""))</f>
        <v/>
      </c>
      <c r="L19" s="19" t="str">
        <f>IF(DAY(AbrDom1)=1,IF(AND(YEAR(AbrDom1+30)=AñoCalendario,MONTH(AbrDom1+30)=4),AbrDom1+30,""),IF(AND(YEAR(AbrDom1+37)=AñoCalendario,MONTH(AbrDom1+37)=4),AbrDom1+37,""))</f>
        <v/>
      </c>
      <c r="M19" s="19" t="str">
        <f>IF(DAY(AbrDom1)=1,IF(AND(YEAR(AbrDom1+31)=AñoCalendario,MONTH(AbrDom1+31)=4),AbrDom1+31,""),IF(AND(YEAR(AbrDom1+38)=AñoCalendario,MONTH(AbrDom1+38)=4),AbrDom1+38,""))</f>
        <v/>
      </c>
      <c r="N19" s="19" t="str">
        <f>IF(DAY(AbrDom1)=1,IF(AND(YEAR(AbrDom1+32)=AñoCalendario,MONTH(AbrDom1+32)=4),AbrDom1+32,""),IF(AND(YEAR(AbrDom1+39)=AñoCalendario,MONTH(AbrDom1+39)=4),AbrDom1+39,""))</f>
        <v/>
      </c>
      <c r="O19" s="19" t="str">
        <f>IF(DAY(AbrDom1)=1,IF(AND(YEAR(AbrDom1+33)=AñoCalendario,MONTH(AbrDom1+33)=4),AbrDom1+33,""),IF(AND(YEAR(AbrDom1+40)=AñoCalendario,MONTH(AbrDom1+40)=4),AbrDom1+40,""))</f>
        <v/>
      </c>
      <c r="P19" s="19" t="str">
        <f>IF(DAY(AbrDom1)=1,IF(AND(YEAR(AbrDom1+34)=AñoCalendario,MONTH(AbrDom1+34)=4),AbrDom1+34,""),IF(AND(YEAR(AbrDom1+41)=AñoCalendario,MONTH(AbrDom1+41)=4),AbrDom1+41,""))</f>
        <v/>
      </c>
      <c r="Q19" s="20" t="str">
        <f>IF(DAY(AbrDom1)=1,IF(AND(YEAR(AbrDom1+35)=AñoCalendario,MONTH(AbrDom1+35)=4),AbrDom1+35,""),IF(AND(YEAR(AbrDom1+42)=AñoCalendario,MONTH(AbrDom1+42)=4),AbrDom1+42,""))</f>
        <v/>
      </c>
      <c r="S19" s="39"/>
      <c r="U19" s="98"/>
      <c r="V19" s="102"/>
      <c r="W19" s="105"/>
    </row>
    <row r="20" spans="1:41" ht="15" customHeight="1" thickBot="1" x14ac:dyDescent="0.3">
      <c r="B20" s="10"/>
      <c r="C20" s="40"/>
      <c r="D20" s="40"/>
      <c r="E20" s="40"/>
      <c r="F20" s="40"/>
      <c r="G20" s="40"/>
      <c r="H20" s="40"/>
      <c r="I20" s="40"/>
      <c r="J20" s="46"/>
      <c r="K20" s="40"/>
      <c r="L20" s="40"/>
      <c r="M20" s="40"/>
      <c r="N20" s="40"/>
      <c r="O20" s="40"/>
      <c r="P20" s="40"/>
      <c r="Q20" s="40"/>
      <c r="S20" s="39"/>
      <c r="U20" s="98"/>
      <c r="V20" s="100" t="s">
        <v>77</v>
      </c>
      <c r="W20" s="106" t="s">
        <v>78</v>
      </c>
    </row>
    <row r="21" spans="1:41" ht="15" customHeight="1" x14ac:dyDescent="0.25">
      <c r="A21" s="6" t="s">
        <v>79</v>
      </c>
      <c r="B21" s="10"/>
      <c r="C21" s="91" t="s">
        <v>80</v>
      </c>
      <c r="D21" s="92"/>
      <c r="E21" s="92"/>
      <c r="F21" s="92"/>
      <c r="G21" s="92"/>
      <c r="H21" s="92"/>
      <c r="I21" s="93"/>
      <c r="J21" s="46"/>
      <c r="K21" s="91" t="s">
        <v>81</v>
      </c>
      <c r="L21" s="92"/>
      <c r="M21" s="92"/>
      <c r="N21" s="92"/>
      <c r="O21" s="92"/>
      <c r="P21" s="92"/>
      <c r="Q21" s="93"/>
      <c r="S21" s="53"/>
      <c r="T21" s="21"/>
      <c r="U21" s="98"/>
      <c r="V21" s="102"/>
      <c r="W21" s="107"/>
      <c r="X21" s="21"/>
      <c r="Y21" s="21"/>
      <c r="AA21" s="21"/>
      <c r="AB21" s="21"/>
      <c r="AC21" s="21"/>
      <c r="AD21" s="21"/>
      <c r="AE21" s="21"/>
      <c r="AF21" s="21"/>
      <c r="AG21" s="21"/>
      <c r="AI21" s="21"/>
      <c r="AJ21" s="21"/>
      <c r="AK21" s="21"/>
      <c r="AL21" s="21"/>
      <c r="AM21" s="21"/>
      <c r="AN21" s="21"/>
      <c r="AO21" s="21"/>
    </row>
    <row r="22" spans="1:41" ht="15" customHeight="1" x14ac:dyDescent="0.25">
      <c r="A22" s="6" t="s">
        <v>82</v>
      </c>
      <c r="B22" s="10"/>
      <c r="C22" s="12" t="s">
        <v>55</v>
      </c>
      <c r="D22" s="43" t="s">
        <v>56</v>
      </c>
      <c r="E22" s="43" t="s">
        <v>70</v>
      </c>
      <c r="F22" s="43" t="s">
        <v>58</v>
      </c>
      <c r="G22" s="43" t="s">
        <v>59</v>
      </c>
      <c r="H22" s="43" t="s">
        <v>60</v>
      </c>
      <c r="I22" s="13" t="s">
        <v>61</v>
      </c>
      <c r="J22" s="52"/>
      <c r="K22" s="12" t="s">
        <v>55</v>
      </c>
      <c r="L22" s="43" t="s">
        <v>56</v>
      </c>
      <c r="M22" s="43" t="s">
        <v>70</v>
      </c>
      <c r="N22" s="43" t="s">
        <v>58</v>
      </c>
      <c r="O22" s="43" t="s">
        <v>59</v>
      </c>
      <c r="P22" s="43" t="s">
        <v>60</v>
      </c>
      <c r="Q22" s="13" t="s">
        <v>61</v>
      </c>
      <c r="S22" s="39"/>
      <c r="U22" s="98"/>
      <c r="V22" s="100" t="s">
        <v>83</v>
      </c>
      <c r="W22" s="103" t="s">
        <v>84</v>
      </c>
    </row>
    <row r="23" spans="1:41" ht="15" customHeight="1" x14ac:dyDescent="0.25">
      <c r="A23" s="6"/>
      <c r="B23" s="10"/>
      <c r="C23" s="14" t="str">
        <f>IF(DAY(MaySun1)=1,"",IF(AND(YEAR(MaySun1+1)=AñoCalendario,MONTH(MaySun1+1)=5),MaySun1+1,""))</f>
        <v/>
      </c>
      <c r="D23" s="46" t="str">
        <f>IF(DAY(MaySun1)=1,"",IF(AND(YEAR(MaySun1+2)=AñoCalendario,MONTH(MaySun1+2)=5),MaySun1+2,""))</f>
        <v/>
      </c>
      <c r="E23" s="46">
        <f>IF(DAY(MaySun1)=1,"",IF(AND(YEAR(MaySun1+3)=AñoCalendario,MONTH(MaySun1+3)=5),MaySun1+3,""))</f>
        <v>45413</v>
      </c>
      <c r="F23" s="46">
        <f>IF(DAY(MaySun1)=1,"",IF(AND(YEAR(MaySun1+4)=AñoCalendario,MONTH(MaySun1+4)=5),MaySun1+4,""))</f>
        <v>45414</v>
      </c>
      <c r="G23" s="47">
        <f>IF(DAY(MaySun1)=1,"",IF(AND(YEAR(MaySun1+5)=AñoCalendario,MONTH(MaySun1+5)=5),MaySun1+5,""))</f>
        <v>45415</v>
      </c>
      <c r="H23" s="46">
        <f>IF(DAY(MaySun1)=1,"",IF(AND(YEAR(MaySun1+6)=AñoCalendario,MONTH(MaySun1+6)=5),MaySun1+6,""))</f>
        <v>45416</v>
      </c>
      <c r="I23" s="15">
        <f>IF(DAY(MaySun1)=1,IF(AND(YEAR(MaySun1)=AñoCalendario,MONTH(MaySun1)=5),MaySun1,""),IF(AND(YEAR(MaySun1+7)=AñoCalendario,MONTH(MaySun1+7)=5),MaySun1+7,""))</f>
        <v>45417</v>
      </c>
      <c r="J23" s="41"/>
      <c r="K23" s="14" t="str">
        <f>IF(DAY(JunSun1)=1,"",IF(AND(YEAR(JunSun1+1)=AñoCalendario,MONTH(JunSun1+1)=6),JunSun1+1,""))</f>
        <v/>
      </c>
      <c r="L23" s="46" t="str">
        <f>IF(DAY(JunSun1)=1,"",IF(AND(YEAR(JunSun1+2)=AñoCalendario,MONTH(JunSun1+2)=6),JunSun1+2,""))</f>
        <v/>
      </c>
      <c r="M23" s="46" t="str">
        <f>IF(DAY(JunSun1)=1,"",IF(AND(YEAR(JunSun1+3)=AñoCalendario,MONTH(JunSun1+3)=6),JunSun1+3,""))</f>
        <v/>
      </c>
      <c r="N23" s="46" t="str">
        <f>IF(DAY(JunSun1)=1,"",IF(AND(YEAR(JunSun1+4)=AñoCalendario,MONTH(JunSun1+4)=6),JunSun1+4,""))</f>
        <v/>
      </c>
      <c r="O23" s="46" t="str">
        <f>IF(DAY(JunSun1)=1,"",IF(AND(YEAR(JunSun1+5)=AñoCalendario,MONTH(JunSun1+5)=6),JunSun1+5,""))</f>
        <v/>
      </c>
      <c r="P23" s="46">
        <f>IF(DAY(JunSun1)=1,"",IF(AND(YEAR(JunSun1+6)=AñoCalendario,MONTH(JunSun1+6)=6),JunSun1+6,""))</f>
        <v>45444</v>
      </c>
      <c r="Q23" s="15">
        <f>IF(DAY(JunSun1)=1,IF(AND(YEAR(JunSun1)=AñoCalendario,MONTH(JunSun1)=6),JunSun1,""),IF(AND(YEAR(JunSun1+7)=AñoCalendario,MONTH(JunSun1+7)=6),JunSun1+7,""))</f>
        <v>45445</v>
      </c>
      <c r="S23" s="39"/>
      <c r="U23" s="98"/>
      <c r="V23" s="101"/>
      <c r="W23" s="104"/>
    </row>
    <row r="24" spans="1:41" ht="15" customHeight="1" x14ac:dyDescent="0.25">
      <c r="B24" s="10"/>
      <c r="C24" s="16">
        <f>IF(DAY(MaySun1)=1,IF(AND(YEAR(MaySun1+1)=AñoCalendario,MONTH(MaySun1+1)=5),MaySun1+1,""),IF(AND(YEAR(MaySun1+8)=AñoCalendario,MONTH(MaySun1+8)=5),MaySun1+8,""))</f>
        <v>45418</v>
      </c>
      <c r="D24" s="46">
        <f>IF(DAY(MaySun1)=1,IF(AND(YEAR(MaySun1+2)=AñoCalendario,MONTH(MaySun1+2)=5),MaySun1+2,""),IF(AND(YEAR(MaySun1+9)=AñoCalendario,MONTH(MaySun1+9)=5),MaySun1+9,""))</f>
        <v>45419</v>
      </c>
      <c r="E24" s="46">
        <f>IF(DAY(MaySun1)=1,IF(AND(YEAR(MaySun1+3)=AñoCalendario,MONTH(MaySun1+3)=5),MaySun1+3,""),IF(AND(YEAR(MaySun1+10)=AñoCalendario,MONTH(MaySun1+10)=5),MaySun1+10,""))</f>
        <v>45420</v>
      </c>
      <c r="F24" s="46">
        <f>IF(DAY(MaySun1)=1,IF(AND(YEAR(MaySun1+4)=AñoCalendario,MONTH(MaySun1+4)=5),MaySun1+4,""),IF(AND(YEAR(MaySun1+11)=AñoCalendario,MONTH(MaySun1+11)=5),MaySun1+11,""))</f>
        <v>45421</v>
      </c>
      <c r="G24" s="46">
        <f>IF(DAY(MaySun1)=1,IF(AND(YEAR(MaySun1+5)=AñoCalendario,MONTH(MaySun1+5)=5),MaySun1+5,""),IF(AND(YEAR(MaySun1+12)=AñoCalendario,MONTH(MaySun1+12)=5),MaySun1+12,""))</f>
        <v>45422</v>
      </c>
      <c r="H24" s="46">
        <f>IF(DAY(MaySun1)=1,IF(AND(YEAR(MaySun1+6)=AñoCalendario,MONTH(MaySun1+6)=5),MaySun1+6,""),IF(AND(YEAR(MaySun1+13)=AñoCalendario,MONTH(MaySun1+13)=5),MaySun1+13,""))</f>
        <v>45423</v>
      </c>
      <c r="I24" s="15">
        <f>IF(DAY(MaySun1)=1,IF(AND(YEAR(MaySun1+7)=AñoCalendario,MONTH(MaySun1+7)=5),MaySun1+7,""),IF(AND(YEAR(MaySun1+14)=AñoCalendario,MONTH(MaySun1+14)=5),MaySun1+14,""))</f>
        <v>45424</v>
      </c>
      <c r="J24" s="44"/>
      <c r="K24" s="14">
        <f>IF(DAY(JunSun1)=1,IF(AND(YEAR(JunSun1+1)=AñoCalendario,MONTH(JunSun1+1)=6),JunSun1+1,""),IF(AND(YEAR(JunSun1+8)=AñoCalendario,MONTH(JunSun1+8)=6),JunSun1+8,""))</f>
        <v>45446</v>
      </c>
      <c r="L24" s="46">
        <f>IF(DAY(JunSun1)=1,IF(AND(YEAR(JunSun1+2)=AñoCalendario,MONTH(JunSun1+2)=6),JunSun1+2,""),IF(AND(YEAR(JunSun1+9)=AñoCalendario,MONTH(JunSun1+9)=6),JunSun1+9,""))</f>
        <v>45447</v>
      </c>
      <c r="M24" s="46">
        <f>IF(DAY(JunSun1)=1,IF(AND(YEAR(JunSun1+3)=AñoCalendario,MONTH(JunSun1+3)=6),JunSun1+3,""),IF(AND(YEAR(JunSun1+10)=AñoCalendario,MONTH(JunSun1+10)=6),JunSun1+10,""))</f>
        <v>45448</v>
      </c>
      <c r="N24" s="46">
        <f>IF(DAY(JunSun1)=1,IF(AND(YEAR(JunSun1+4)=AñoCalendario,MONTH(JunSun1+4)=6),JunSun1+4,""),IF(AND(YEAR(JunSun1+11)=AñoCalendario,MONTH(JunSun1+11)=6),JunSun1+11,""))</f>
        <v>45449</v>
      </c>
      <c r="O24" s="47">
        <f>IF(DAY(JunSun1)=1,IF(AND(YEAR(JunSun1+5)=AñoCalendario,MONTH(JunSun1+5)=6),JunSun1+5,""),IF(AND(YEAR(JunSun1+12)=AñoCalendario,MONTH(JunSun1+12)=6),JunSun1+12,""))</f>
        <v>45450</v>
      </c>
      <c r="P24" s="46">
        <f>IF(DAY(JunSun1)=1,IF(AND(YEAR(JunSun1+6)=AñoCalendario,MONTH(JunSun1+6)=6),JunSun1+6,""),IF(AND(YEAR(JunSun1+13)=AñoCalendario,MONTH(JunSun1+13)=6),JunSun1+13,""))</f>
        <v>45451</v>
      </c>
      <c r="Q24" s="15">
        <f>IF(DAY(JunSun1)=1,IF(AND(YEAR(JunSun1+7)=AñoCalendario,MONTH(JunSun1+7)=6),JunSun1+7,""),IF(AND(YEAR(JunSun1+14)=AñoCalendario,MONTH(JunSun1+14)=6),JunSun1+14,""))</f>
        <v>45452</v>
      </c>
      <c r="S24" s="39"/>
      <c r="U24" s="99"/>
      <c r="V24" s="108"/>
      <c r="W24" s="105"/>
    </row>
    <row r="25" spans="1:41" ht="15" customHeight="1" x14ac:dyDescent="0.25">
      <c r="B25" s="10"/>
      <c r="C25" s="14">
        <f>IF(DAY(MaySun1)=1,IF(AND(YEAR(MaySun1+8)=AñoCalendario,MONTH(MaySun1+8)=5),MaySun1+8,""),IF(AND(YEAR(MaySun1+15)=AñoCalendario,MONTH(MaySun1+15)=5),MaySun1+15,""))</f>
        <v>45425</v>
      </c>
      <c r="D25" s="46">
        <f>IF(DAY(MaySun1)=1,IF(AND(YEAR(MaySun1+9)=AñoCalendario,MONTH(MaySun1+9)=5),MaySun1+9,""),IF(AND(YEAR(MaySun1+16)=AñoCalendario,MONTH(MaySun1+16)=5),MaySun1+16,""))</f>
        <v>45426</v>
      </c>
      <c r="E25" s="46">
        <f>IF(DAY(MaySun1)=1,IF(AND(YEAR(MaySun1+10)=AñoCalendario,MONTH(MaySun1+10)=5),MaySun1+10,""),IF(AND(YEAR(MaySun1+17)=AñoCalendario,MONTH(MaySun1+17)=5),MaySun1+17,""))</f>
        <v>45427</v>
      </c>
      <c r="F25" s="46">
        <f>IF(DAY(MaySun1)=1,IF(AND(YEAR(MaySun1+11)=AñoCalendario,MONTH(MaySun1+11)=5),MaySun1+11,""),IF(AND(YEAR(MaySun1+18)=AñoCalendario,MONTH(MaySun1+18)=5),MaySun1+18,""))</f>
        <v>45428</v>
      </c>
      <c r="G25" s="49">
        <f>IF(DAY(MaySun1)=1,IF(AND(YEAR(MaySun1+12)=AñoCalendario,MONTH(MaySun1+12)=5),MaySun1+12,""),IF(AND(YEAR(MaySun1+19)=AñoCalendario,MONTH(MaySun1+19)=5),MaySun1+19,""))</f>
        <v>45429</v>
      </c>
      <c r="H25" s="46">
        <f>IF(DAY(MaySun1)=1,IF(AND(YEAR(MaySun1+13)=AñoCalendario,MONTH(MaySun1+13)=5),MaySun1+13,""),IF(AND(YEAR(MaySun1+20)=AñoCalendario,MONTH(MaySun1+20)=5),MaySun1+20,""))</f>
        <v>45430</v>
      </c>
      <c r="I25" s="15">
        <f>IF(DAY(MaySun1)=1,IF(AND(YEAR(MaySun1+14)=AñoCalendario,MONTH(MaySun1+14)=5),MaySun1+14,""),IF(AND(YEAR(MaySun1+21)=AñoCalendario,MONTH(MaySun1+21)=5),MaySun1+21,""))</f>
        <v>45431</v>
      </c>
      <c r="J25" s="46"/>
      <c r="K25" s="16">
        <f>IF(DAY(JunSun1)=1,IF(AND(YEAR(JunSun1+8)=AñoCalendario,MONTH(JunSun1+8)=6),JunSun1+8,""),IF(AND(YEAR(JunSun1+15)=AñoCalendario,MONTH(JunSun1+15)=6),JunSun1+15,""))</f>
        <v>45453</v>
      </c>
      <c r="L25" s="46">
        <f>IF(DAY(JunSun1)=1,IF(AND(YEAR(JunSun1+9)=AñoCalendario,MONTH(JunSun1+9)=6),JunSun1+9,""),IF(AND(YEAR(JunSun1+16)=AñoCalendario,MONTH(JunSun1+16)=6),JunSun1+16,""))</f>
        <v>45454</v>
      </c>
      <c r="M25" s="46">
        <f>IF(DAY(JunSun1)=1,IF(AND(YEAR(JunSun1+10)=AñoCalendario,MONTH(JunSun1+10)=6),JunSun1+10,""),IF(AND(YEAR(JunSun1+17)=AñoCalendario,MONTH(JunSun1+17)=6),JunSun1+17,""))</f>
        <v>45455</v>
      </c>
      <c r="N25" s="46">
        <f>IF(DAY(JunSun1)=1,IF(AND(YEAR(JunSun1+11)=AñoCalendario,MONTH(JunSun1+11)=6),JunSun1+11,""),IF(AND(YEAR(JunSun1+18)=AñoCalendario,MONTH(JunSun1+18)=6),JunSun1+18,""))</f>
        <v>45456</v>
      </c>
      <c r="O25" s="46">
        <f>IF(DAY(JunSun1)=1,IF(AND(YEAR(JunSun1+12)=AñoCalendario,MONTH(JunSun1+12)=6),JunSun1+12,""),IF(AND(YEAR(JunSun1+19)=AñoCalendario,MONTH(JunSun1+19)=6),JunSun1+19,""))</f>
        <v>45457</v>
      </c>
      <c r="P25" s="46">
        <f>IF(DAY(JunSun1)=1,IF(AND(YEAR(JunSun1+13)=AñoCalendario,MONTH(JunSun1+13)=6),JunSun1+13,""),IF(AND(YEAR(JunSun1+20)=AñoCalendario,MONTH(JunSun1+20)=6),JunSun1+20,""))</f>
        <v>45458</v>
      </c>
      <c r="Q25" s="15">
        <f>IF(DAY(JunSun1)=1,IF(AND(YEAR(JunSun1+14)=AñoCalendario,MONTH(JunSun1+14)=6),JunSun1+14,""),IF(AND(YEAR(JunSun1+21)=AñoCalendario,MONTH(JunSun1+21)=6),JunSun1+21,""))</f>
        <v>45459</v>
      </c>
      <c r="S25" s="39"/>
      <c r="U25" s="40"/>
      <c r="V25" s="40"/>
      <c r="W25" s="11"/>
    </row>
    <row r="26" spans="1:41" ht="15" customHeight="1" x14ac:dyDescent="0.25">
      <c r="B26" s="10"/>
      <c r="C26" s="16">
        <f>IF(DAY(MaySun1)=1,IF(AND(YEAR(MaySun1+15)=AñoCalendario,MONTH(MaySun1+15)=5),MaySun1+15,""),IF(AND(YEAR(MaySun1+22)=AñoCalendario,MONTH(MaySun1+22)=5),MaySun1+22,""))</f>
        <v>45432</v>
      </c>
      <c r="D26" s="46">
        <f>IF(DAY(MaySun1)=1,IF(AND(YEAR(MaySun1+16)=AñoCalendario,MONTH(MaySun1+16)=5),MaySun1+16,""),IF(AND(YEAR(MaySun1+23)=AñoCalendario,MONTH(MaySun1+23)=5),MaySun1+23,""))</f>
        <v>45433</v>
      </c>
      <c r="E26" s="46">
        <f>IF(DAY(MaySun1)=1,IF(AND(YEAR(MaySun1+17)=AñoCalendario,MONTH(MaySun1+17)=5),MaySun1+17,""),IF(AND(YEAR(MaySun1+24)=AñoCalendario,MONTH(MaySun1+24)=5),MaySun1+24,""))</f>
        <v>45434</v>
      </c>
      <c r="F26" s="46">
        <f>IF(DAY(MaySun1)=1,IF(AND(YEAR(MaySun1+18)=AñoCalendario,MONTH(MaySun1+18)=5),MaySun1+18,""),IF(AND(YEAR(MaySun1+25)=AñoCalendario,MONTH(MaySun1+25)=5),MaySun1+25,""))</f>
        <v>45435</v>
      </c>
      <c r="G26" s="46">
        <f>IF(DAY(MaySun1)=1,IF(AND(YEAR(MaySun1+19)=AñoCalendario,MONTH(MaySun1+19)=5),MaySun1+19,""),IF(AND(YEAR(MaySun1+26)=AñoCalendario,MONTH(MaySun1+26)=5),MaySun1+26,""))</f>
        <v>45436</v>
      </c>
      <c r="H26" s="46">
        <f>IF(DAY(MaySun1)=1,IF(AND(YEAR(MaySun1+20)=AñoCalendario,MONTH(MaySun1+20)=5),MaySun1+20,""),IF(AND(YEAR(MaySun1+27)=AñoCalendario,MONTH(MaySun1+27)=5),MaySun1+27,""))</f>
        <v>45437</v>
      </c>
      <c r="I26" s="15">
        <f>IF(DAY(MaySun1)=1,IF(AND(YEAR(MaySun1+21)=AñoCalendario,MONTH(MaySun1+21)=5),MaySun1+21,""),IF(AND(YEAR(MaySun1+28)=AñoCalendario,MONTH(MaySun1+28)=5),MaySun1+28,""))</f>
        <v>45438</v>
      </c>
      <c r="J26" s="46"/>
      <c r="K26" s="14">
        <f>IF(DAY(JunSun1)=1,IF(AND(YEAR(JunSun1+15)=AñoCalendario,MONTH(JunSun1+15)=6),JunSun1+15,""),IF(AND(YEAR(JunSun1+22)=AñoCalendario,MONTH(JunSun1+22)=6),JunSun1+22,""))</f>
        <v>45460</v>
      </c>
      <c r="L26" s="46">
        <f>IF(DAY(JunSun1)=1,IF(AND(YEAR(JunSun1+16)=AñoCalendario,MONTH(JunSun1+16)=6),JunSun1+16,""),IF(AND(YEAR(JunSun1+23)=AñoCalendario,MONTH(JunSun1+23)=6),JunSun1+23,""))</f>
        <v>45461</v>
      </c>
      <c r="M26" s="46">
        <f>IF(DAY(JunSun1)=1,IF(AND(YEAR(JunSun1+17)=AñoCalendario,MONTH(JunSun1+17)=6),JunSun1+17,""),IF(AND(YEAR(JunSun1+24)=AñoCalendario,MONTH(JunSun1+24)=6),JunSun1+24,""))</f>
        <v>45462</v>
      </c>
      <c r="N26" s="46">
        <f>IF(DAY(JunSun1)=1,IF(AND(YEAR(JunSun1+18)=AñoCalendario,MONTH(JunSun1+18)=6),JunSun1+18,""),IF(AND(YEAR(JunSun1+25)=AñoCalendario,MONTH(JunSun1+25)=6),JunSun1+25,""))</f>
        <v>45463</v>
      </c>
      <c r="O26" s="49">
        <f>IF(DAY(JunSun1)=1,IF(AND(YEAR(JunSun1+19)=AñoCalendario,MONTH(JunSun1+19)=6),JunSun1+19,""),IF(AND(YEAR(JunSun1+26)=AñoCalendario,MONTH(JunSun1+26)=6),JunSun1+26,""))</f>
        <v>45464</v>
      </c>
      <c r="P26" s="46">
        <f>IF(DAY(JunSun1)=1,IF(AND(YEAR(JunSun1+20)=AñoCalendario,MONTH(JunSun1+20)=6),JunSun1+20,""),IF(AND(YEAR(JunSun1+27)=AñoCalendario,MONTH(JunSun1+27)=6),JunSun1+27,""))</f>
        <v>45465</v>
      </c>
      <c r="Q26" s="15">
        <f>IF(DAY(JunSun1)=1,IF(AND(YEAR(JunSun1+21)=AñoCalendario,MONTH(JunSun1+21)=6),JunSun1+21,""),IF(AND(YEAR(JunSun1+28)=AñoCalendario,MONTH(JunSun1+28)=6),JunSun1+28,""))</f>
        <v>45466</v>
      </c>
      <c r="S26" s="39"/>
      <c r="U26" s="40"/>
      <c r="V26" s="40"/>
      <c r="W26" s="11"/>
    </row>
    <row r="27" spans="1:41" ht="15" customHeight="1" x14ac:dyDescent="0.25">
      <c r="B27" s="10"/>
      <c r="C27" s="14">
        <f>IF(DAY(MaySun1)=1,IF(AND(YEAR(MaySun1+22)=AñoCalendario,MONTH(MaySun1+22)=5),MaySun1+22,""),IF(AND(YEAR(MaySun1+29)=AñoCalendario,MONTH(MaySun1+29)=5),MaySun1+29,""))</f>
        <v>45439</v>
      </c>
      <c r="D27" s="46">
        <f>IF(DAY(MaySun1)=1,IF(AND(YEAR(MaySun1+23)=AñoCalendario,MONTH(MaySun1+23)=5),MaySun1+23,""),IF(AND(YEAR(MaySun1+30)=AñoCalendario,MONTH(MaySun1+30)=5),MaySun1+30,""))</f>
        <v>45440</v>
      </c>
      <c r="E27" s="46">
        <f>IF(DAY(MaySun1)=1,IF(AND(YEAR(MaySun1+24)=AñoCalendario,MONTH(MaySun1+24)=5),MaySun1+24,""),IF(AND(YEAR(MaySun1+31)=AñoCalendario,MONTH(MaySun1+31)=5),MaySun1+31,""))</f>
        <v>45441</v>
      </c>
      <c r="F27" s="46">
        <f>IF(DAY(MaySun1)=1,IF(AND(YEAR(MaySun1+25)=AñoCalendario,MONTH(MaySun1+25)=5),MaySun1+25,""),IF(AND(YEAR(MaySun1+32)=AñoCalendario,MONTH(MaySun1+32)=5),MaySun1+32,""))</f>
        <v>45442</v>
      </c>
      <c r="G27" s="46">
        <f>IF(DAY(MaySun1)=1,IF(AND(YEAR(MaySun1+26)=AñoCalendario,MONTH(MaySun1+26)=5),MaySun1+26,""),IF(AND(YEAR(MaySun1+33)=AñoCalendario,MONTH(MaySun1+33)=5),MaySun1+33,""))</f>
        <v>45443</v>
      </c>
      <c r="H27" s="46" t="str">
        <f>IF(DAY(MaySun1)=1,IF(AND(YEAR(MaySun1+27)=AñoCalendario,MONTH(MaySun1+27)=5),MaySun1+27,""),IF(AND(YEAR(MaySun1+34)=AñoCalendario,MONTH(MaySun1+34)=5),MaySun1+34,""))</f>
        <v/>
      </c>
      <c r="I27" s="15" t="str">
        <f>IF(DAY(MaySun1)=1,IF(AND(YEAR(MaySun1+28)=AñoCalendario,MONTH(MaySun1+28)=5),MaySun1+28,""),IF(AND(YEAR(MaySun1+35)=AñoCalendario,MONTH(MaySun1+35)=5),MaySun1+35,""))</f>
        <v/>
      </c>
      <c r="J27" s="46"/>
      <c r="K27" s="16">
        <f>IF(DAY(JunSun1)=1,IF(AND(YEAR(JunSun1+22)=AñoCalendario,MONTH(JunSun1+22)=6),JunSun1+22,""),IF(AND(YEAR(JunSun1+29)=AñoCalendario,MONTH(JunSun1+29)=6),JunSun1+29,""))</f>
        <v>45467</v>
      </c>
      <c r="L27" s="46">
        <f>IF(DAY(JunSun1)=1,IF(AND(YEAR(JunSun1+23)=AñoCalendario,MONTH(JunSun1+23)=6),JunSun1+23,""),IF(AND(YEAR(JunSun1+30)=AñoCalendario,MONTH(JunSun1+30)=6),JunSun1+30,""))</f>
        <v>45468</v>
      </c>
      <c r="M27" s="46">
        <f>IF(DAY(JunSun1)=1,IF(AND(YEAR(JunSun1+24)=AñoCalendario,MONTH(JunSun1+24)=6),JunSun1+24,""),IF(AND(YEAR(JunSun1+31)=AñoCalendario,MONTH(JunSun1+31)=6),JunSun1+31,""))</f>
        <v>45469</v>
      </c>
      <c r="N27" s="46">
        <f>IF(DAY(JunSun1)=1,IF(AND(YEAR(JunSun1+25)=AñoCalendario,MONTH(JunSun1+25)=6),JunSun1+25,""),IF(AND(YEAR(JunSun1+32)=AñoCalendario,MONTH(JunSun1+32)=6),JunSun1+32,""))</f>
        <v>45470</v>
      </c>
      <c r="O27" s="46">
        <f>IF(DAY(JunSun1)=1,IF(AND(YEAR(JunSun1+26)=AñoCalendario,MONTH(JunSun1+26)=6),JunSun1+26,""),IF(AND(YEAR(JunSun1+33)=AñoCalendario,MONTH(JunSun1+33)=6),JunSun1+33,""))</f>
        <v>45471</v>
      </c>
      <c r="P27" s="46">
        <f>IF(DAY(JunSun1)=1,IF(AND(YEAR(JunSun1+27)=AñoCalendario,MONTH(JunSun1+27)=6),JunSun1+27,""),IF(AND(YEAR(JunSun1+34)=AñoCalendario,MONTH(JunSun1+34)=6),JunSun1+34,""))</f>
        <v>45472</v>
      </c>
      <c r="Q27" s="15">
        <f>IF(DAY(JunSun1)=1,IF(AND(YEAR(JunSun1+28)=AñoCalendario,MONTH(JunSun1+28)=6),JunSun1+28,""),IF(AND(YEAR(JunSun1+35)=AñoCalendario,MONTH(JunSun1+35)=6),JunSun1+35,""))</f>
        <v>45473</v>
      </c>
      <c r="S27" s="39"/>
      <c r="U27" s="22" t="s">
        <v>71</v>
      </c>
      <c r="V27" s="25" t="s">
        <v>72</v>
      </c>
      <c r="W27" s="24" t="s">
        <v>73</v>
      </c>
    </row>
    <row r="28" spans="1:41" ht="15" customHeight="1" thickBot="1" x14ac:dyDescent="0.3">
      <c r="B28" s="10"/>
      <c r="C28" s="18" t="str">
        <f>IF(DAY(MaySun1)=1,IF(AND(YEAR(MaySun1+29)=AñoCalendario,MONTH(MaySun1+29)=5),MaySun1+29,""),IF(AND(YEAR(MaySun1+36)=AñoCalendario,MONTH(MaySun1+36)=5),MaySun1+36,""))</f>
        <v/>
      </c>
      <c r="D28" s="19" t="str">
        <f>IF(DAY(MaySun1)=1,IF(AND(YEAR(MaySun1+30)=AñoCalendario,MONTH(MaySun1+30)=5),MaySun1+30,""),IF(AND(YEAR(MaySun1+37)=AñoCalendario,MONTH(MaySun1+37)=5),MaySun1+37,""))</f>
        <v/>
      </c>
      <c r="E28" s="19" t="str">
        <f>IF(DAY(MaySun1)=1,IF(AND(YEAR(MaySun1+31)=AñoCalendario,MONTH(MaySun1+31)=5),MaySun1+31,""),IF(AND(YEAR(MaySun1+38)=AñoCalendario,MONTH(MaySun1+38)=5),MaySun1+38,""))</f>
        <v/>
      </c>
      <c r="F28" s="19" t="str">
        <f>IF(DAY(MaySun1)=1,IF(AND(YEAR(MaySun1+32)=AñoCalendario,MONTH(MaySun1+32)=5),MaySun1+32,""),IF(AND(YEAR(MaySun1+39)=AñoCalendario,MONTH(MaySun1+39)=5),MaySun1+39,""))</f>
        <v/>
      </c>
      <c r="G28" s="19" t="str">
        <f>IF(DAY(MaySun1)=1,IF(AND(YEAR(MaySun1+33)=AñoCalendario,MONTH(MaySun1+33)=5),MaySun1+33,""),IF(AND(YEAR(MaySun1+40)=AñoCalendario,MONTH(MaySun1+40)=5),MaySun1+40,""))</f>
        <v/>
      </c>
      <c r="H28" s="19" t="str">
        <f>IF(DAY(MaySun1)=1,IF(AND(YEAR(MaySun1+34)=AñoCalendario,MONTH(MaySun1+34)=5),MaySun1+34,""),IF(AND(YEAR(MaySun1+41)=AñoCalendario,MONTH(MaySun1+41)=5),MaySun1+41,""))</f>
        <v/>
      </c>
      <c r="I28" s="20" t="str">
        <f>IF(DAY(MaySun1)=1,IF(AND(YEAR(MaySun1+35)=AñoCalendario,MONTH(MaySun1+35)=5),MaySun1+35,""),IF(AND(YEAR(MaySun1+42)=AñoCalendario,MONTH(MaySun1+42)=5),MaySun1+42,""))</f>
        <v/>
      </c>
      <c r="J28" s="46"/>
      <c r="K28" s="18" t="str">
        <f>IF(DAY(JunSun1)=1,IF(AND(YEAR(JunSun1+29)=AñoCalendario,MONTH(JunSun1+29)=6),JunSun1+29,""),IF(AND(YEAR(JunSun1+36)=AñoCalendario,MONTH(JunSun1+36)=6),JunSun1+36,""))</f>
        <v/>
      </c>
      <c r="L28" s="19" t="str">
        <f>IF(DAY(JunSun1)=1,IF(AND(YEAR(JunSun1+30)=AñoCalendario,MONTH(JunSun1+30)=6),JunSun1+30,""),IF(AND(YEAR(JunSun1+37)=AñoCalendario,MONTH(JunSun1+37)=6),JunSun1+37,""))</f>
        <v/>
      </c>
      <c r="M28" s="19" t="str">
        <f>IF(DAY(JunSun1)=1,IF(AND(YEAR(JunSun1+31)=AñoCalendario,MONTH(JunSun1+31)=6),JunSun1+31,""),IF(AND(YEAR(JunSun1+38)=AñoCalendario,MONTH(JunSun1+38)=6),JunSun1+38,""))</f>
        <v/>
      </c>
      <c r="N28" s="19" t="str">
        <f>IF(DAY(JunSun1)=1,IF(AND(YEAR(JunSun1+32)=AñoCalendario,MONTH(JunSun1+32)=6),JunSun1+32,""),IF(AND(YEAR(JunSun1+39)=AñoCalendario,MONTH(JunSun1+39)=6),JunSun1+39,""))</f>
        <v/>
      </c>
      <c r="O28" s="19" t="str">
        <f>IF(DAY(JunSun1)=1,IF(AND(YEAR(JunSun1+33)=AñoCalendario,MONTH(JunSun1+33)=6),JunSun1+33,""),IF(AND(YEAR(JunSun1+40)=AñoCalendario,MONTH(JunSun1+40)=6),JunSun1+40,""))</f>
        <v/>
      </c>
      <c r="P28" s="19" t="str">
        <f>IF(DAY(JunSun1)=1,IF(AND(YEAR(JunSun1+34)=AñoCalendario,MONTH(JunSun1+34)=6),JunSun1+34,""),IF(AND(YEAR(JunSun1+41)=AñoCalendario,MONTH(JunSun1+41)=6),JunSun1+41,""))</f>
        <v/>
      </c>
      <c r="Q28" s="20" t="str">
        <f>IF(DAY(JunSun1)=1,IF(AND(YEAR(JunSun1+35)=AñoCalendario,MONTH(JunSun1+35)=6),JunSun1+35,""),IF(AND(YEAR(JunSun1+42)=AñoCalendario,MONTH(JunSun1+42)=6),JunSun1+42,""))</f>
        <v/>
      </c>
      <c r="S28" s="39"/>
      <c r="U28" s="109" t="s">
        <v>85</v>
      </c>
      <c r="V28" s="112" t="s">
        <v>86</v>
      </c>
      <c r="W28" s="103" t="s">
        <v>87</v>
      </c>
    </row>
    <row r="29" spans="1:41" ht="15" customHeight="1" thickBot="1" x14ac:dyDescent="0.3">
      <c r="B29" s="10"/>
      <c r="C29" s="40"/>
      <c r="D29" s="40"/>
      <c r="E29" s="40"/>
      <c r="F29" s="40"/>
      <c r="G29" s="40"/>
      <c r="H29" s="40"/>
      <c r="I29" s="40"/>
      <c r="J29" s="46"/>
      <c r="K29" s="40"/>
      <c r="L29" s="40"/>
      <c r="M29" s="40"/>
      <c r="N29" s="40"/>
      <c r="O29" s="40"/>
      <c r="P29" s="40"/>
      <c r="Q29" s="40"/>
      <c r="S29" s="39"/>
      <c r="U29" s="110"/>
      <c r="V29" s="113"/>
      <c r="W29" s="105"/>
    </row>
    <row r="30" spans="1:41" ht="15" customHeight="1" x14ac:dyDescent="0.25">
      <c r="A30" s="6" t="s">
        <v>88</v>
      </c>
      <c r="B30" s="10"/>
      <c r="C30" s="91" t="s">
        <v>89</v>
      </c>
      <c r="D30" s="92"/>
      <c r="E30" s="92"/>
      <c r="F30" s="92"/>
      <c r="G30" s="92"/>
      <c r="H30" s="92"/>
      <c r="I30" s="93"/>
      <c r="J30" s="46"/>
      <c r="K30" s="91" t="s">
        <v>90</v>
      </c>
      <c r="L30" s="92"/>
      <c r="M30" s="92"/>
      <c r="N30" s="92"/>
      <c r="O30" s="92"/>
      <c r="P30" s="92"/>
      <c r="Q30" s="93"/>
      <c r="S30" s="39"/>
      <c r="U30" s="110"/>
      <c r="V30" s="112" t="s">
        <v>83</v>
      </c>
      <c r="W30" s="26" t="s">
        <v>91</v>
      </c>
    </row>
    <row r="31" spans="1:41" ht="15" customHeight="1" x14ac:dyDescent="0.25">
      <c r="A31" s="6" t="s">
        <v>92</v>
      </c>
      <c r="B31" s="10"/>
      <c r="C31" s="12" t="s">
        <v>55</v>
      </c>
      <c r="D31" s="43" t="s">
        <v>56</v>
      </c>
      <c r="E31" s="43" t="s">
        <v>70</v>
      </c>
      <c r="F31" s="43" t="s">
        <v>58</v>
      </c>
      <c r="G31" s="43" t="s">
        <v>59</v>
      </c>
      <c r="H31" s="43" t="s">
        <v>60</v>
      </c>
      <c r="I31" s="13" t="s">
        <v>61</v>
      </c>
      <c r="J31" s="46"/>
      <c r="K31" s="12" t="s">
        <v>55</v>
      </c>
      <c r="L31" s="43" t="s">
        <v>56</v>
      </c>
      <c r="M31" s="43" t="s">
        <v>70</v>
      </c>
      <c r="N31" s="43" t="s">
        <v>58</v>
      </c>
      <c r="O31" s="43" t="s">
        <v>59</v>
      </c>
      <c r="P31" s="43" t="s">
        <v>60</v>
      </c>
      <c r="Q31" s="13" t="s">
        <v>61</v>
      </c>
      <c r="S31" s="39"/>
      <c r="U31" s="110"/>
      <c r="V31" s="114"/>
      <c r="W31" s="27" t="s">
        <v>93</v>
      </c>
    </row>
    <row r="32" spans="1:41" ht="15" customHeight="1" x14ac:dyDescent="0.25">
      <c r="A32" s="6"/>
      <c r="B32" s="10"/>
      <c r="C32" s="14">
        <f>IF(DAY(JulSun1)=1,"",IF(AND(YEAR(JulSun1+1)=AñoCalendario,MONTH(JulSun1+1)=7),JulSun1+1,""))</f>
        <v>45474</v>
      </c>
      <c r="D32" s="46">
        <f>IF(DAY(JulSun1)=1,"",IF(AND(YEAR(JulSun1+2)=AñoCalendario,MONTH(JulSun1+2)=7),JulSun1+2,""))</f>
        <v>45475</v>
      </c>
      <c r="E32" s="46">
        <f>IF(DAY(JulSun1)=1,"",IF(AND(YEAR(JulSun1+3)=AñoCalendario,MONTH(JulSun1+3)=7),JulSun1+3,""))</f>
        <v>45476</v>
      </c>
      <c r="F32" s="46">
        <f>IF(DAY(JulSun1)=1,"",IF(AND(YEAR(JulSun1+4)=AñoCalendario,MONTH(JulSun1+4)=7),JulSun1+4,""))</f>
        <v>45477</v>
      </c>
      <c r="G32" s="47">
        <f>IF(DAY(JulSun1)=1,"",IF(AND(YEAR(JulSun1+5)=AñoCalendario,MONTH(JulSun1+5)=7),JulSun1+5,""))</f>
        <v>45478</v>
      </c>
      <c r="H32" s="46">
        <f>IF(DAY(JulSun1)=1,"",IF(AND(YEAR(JulSun1+6)=AñoCalendario,MONTH(JulSun1+6)=7),JulSun1+6,""))</f>
        <v>45479</v>
      </c>
      <c r="I32" s="15">
        <f>IF(DAY(JulSun1)=1,IF(AND(YEAR(JulSun1)=AñoCalendario,MONTH(JulSun1)=7),JulSun1,""),IF(AND(YEAR(JulSun1+7)=AñoCalendario,MONTH(JulSun1+7)=7),JulSun1+7,""))</f>
        <v>45480</v>
      </c>
      <c r="J32" s="40"/>
      <c r="K32" s="14" t="str">
        <f>IF(DAY(AgoDom1)=1,"",IF(AND(YEAR(AgoDom1+1)=AñoCalendario,MONTH(AgoDom1+1)=8),AgoDom1+1,""))</f>
        <v/>
      </c>
      <c r="L32" s="46" t="str">
        <f>IF(DAY(AgoDom1)=1,"",IF(AND(YEAR(AgoDom1+2)=AñoCalendario,MONTH(AgoDom1+2)=8),AgoDom1+2,""))</f>
        <v/>
      </c>
      <c r="M32" s="46" t="str">
        <f>IF(DAY(AgoDom1)=1,"",IF(AND(YEAR(AgoDom1+3)=AñoCalendario,MONTH(AgoDom1+3)=8),AgoDom1+3,""))</f>
        <v/>
      </c>
      <c r="N32" s="46">
        <f>IF(DAY(AgoDom1)=1,"",IF(AND(YEAR(AgoDom1+4)=AñoCalendario,MONTH(AgoDom1+4)=8),AgoDom1+4,""))</f>
        <v>45505</v>
      </c>
      <c r="O32" s="47">
        <f>IF(DAY(AgoDom1)=1,"",IF(AND(YEAR(AgoDom1+5)=AñoCalendario,MONTH(AgoDom1+5)=8),AgoDom1+5,""))</f>
        <v>45506</v>
      </c>
      <c r="P32" s="46">
        <f>IF(DAY(AgoDom1)=1,"",IF(AND(YEAR(AgoDom1+6)=AñoCalendario,MONTH(AgoDom1+6)=8),AgoDom1+6,""))</f>
        <v>45507</v>
      </c>
      <c r="Q32" s="15">
        <f>IF(DAY(AgoDom1)=1,IF(AND(YEAR(AgoDom1)=AñoCalendario,MONTH(AgoDom1)=8),AgoDom1,""),IF(AND(YEAR(AgoDom1+7)=AñoCalendario,MONTH(AgoDom1+7)=8),AgoDom1+7,""))</f>
        <v>45508</v>
      </c>
      <c r="S32" s="39"/>
      <c r="U32" s="110"/>
      <c r="V32" s="114"/>
      <c r="W32" s="115" t="s">
        <v>94</v>
      </c>
    </row>
    <row r="33" spans="1:23" ht="15" customHeight="1" x14ac:dyDescent="0.25">
      <c r="A33" s="6"/>
      <c r="B33" s="10"/>
      <c r="C33" s="16">
        <f>IF(DAY(JulSun1)=1,IF(AND(YEAR(JulSun1+1)=AñoCalendario,MONTH(JulSun1+1)=7),JulSun1+1,""),IF(AND(YEAR(JulSun1+8)=AñoCalendario,MONTH(JulSun1+8)=7),JulSun1+8,""))</f>
        <v>45481</v>
      </c>
      <c r="D33" s="46">
        <f>IF(DAY(JulSun1)=1,IF(AND(YEAR(JulSun1+2)=AñoCalendario,MONTH(JulSun1+2)=7),JulSun1+2,""),IF(AND(YEAR(JulSun1+9)=AñoCalendario,MONTH(JulSun1+9)=7),JulSun1+9,""))</f>
        <v>45482</v>
      </c>
      <c r="E33" s="46">
        <f>IF(DAY(JulSun1)=1,IF(AND(YEAR(JulSun1+3)=AñoCalendario,MONTH(JulSun1+3)=7),JulSun1+3,""),IF(AND(YEAR(JulSun1+10)=AñoCalendario,MONTH(JulSun1+10)=7),JulSun1+10,""))</f>
        <v>45483</v>
      </c>
      <c r="F33" s="46">
        <f>IF(DAY(JulSun1)=1,IF(AND(YEAR(JulSun1+4)=AñoCalendario,MONTH(JulSun1+4)=7),JulSun1+4,""),IF(AND(YEAR(JulSun1+11)=AñoCalendario,MONTH(JulSun1+11)=7),JulSun1+11,""))</f>
        <v>45484</v>
      </c>
      <c r="G33" s="46">
        <f>IF(DAY(JulSun1)=1,IF(AND(YEAR(JulSun1+5)=AñoCalendario,MONTH(JulSun1+5)=7),JulSun1+5,""),IF(AND(YEAR(JulSun1+12)=AñoCalendario,MONTH(JulSun1+12)=7),JulSun1+12,""))</f>
        <v>45485</v>
      </c>
      <c r="H33" s="46">
        <f>IF(DAY(JulSun1)=1,IF(AND(YEAR(JulSun1+6)=AñoCalendario,MONTH(JulSun1+6)=7),JulSun1+6,""),IF(AND(YEAR(JulSun1+13)=AñoCalendario,MONTH(JulSun1+13)=7),JulSun1+13,""))</f>
        <v>45486</v>
      </c>
      <c r="I33" s="15">
        <f>IF(DAY(JulSun1)=1,IF(AND(YEAR(JulSun1+7)=AñoCalendario,MONTH(JulSun1+7)=7),JulSun1+7,""),IF(AND(YEAR(JulSun1+14)=AñoCalendario,MONTH(JulSun1+14)=7),JulSun1+14,""))</f>
        <v>45487</v>
      </c>
      <c r="J33" s="40"/>
      <c r="K33" s="16">
        <f>IF(DAY(AgoDom1)=1,IF(AND(YEAR(AgoDom1+1)=AñoCalendario,MONTH(AgoDom1+1)=8),AgoDom1+1,""),IF(AND(YEAR(AgoDom1+8)=AñoCalendario,MONTH(AgoDom1+8)=8),AgoDom1+8,""))</f>
        <v>45509</v>
      </c>
      <c r="L33" s="46">
        <f>IF(DAY(AgoDom1)=1,IF(AND(YEAR(AgoDom1+2)=AñoCalendario,MONTH(AgoDom1+2)=8),AgoDom1+2,""),IF(AND(YEAR(AgoDom1+9)=AñoCalendario,MONTH(AgoDom1+9)=8),AgoDom1+9,""))</f>
        <v>45510</v>
      </c>
      <c r="M33" s="46">
        <f>IF(DAY(AgoDom1)=1,IF(AND(YEAR(AgoDom1+3)=AñoCalendario,MONTH(AgoDom1+3)=8),AgoDom1+3,""),IF(AND(YEAR(AgoDom1+10)=AñoCalendario,MONTH(AgoDom1+10)=8),AgoDom1+10,""))</f>
        <v>45511</v>
      </c>
      <c r="N33" s="46">
        <f>IF(DAY(AgoDom1)=1,IF(AND(YEAR(AgoDom1+4)=AñoCalendario,MONTH(AgoDom1+4)=8),AgoDom1+4,""),IF(AND(YEAR(AgoDom1+11)=AñoCalendario,MONTH(AgoDom1+11)=8),AgoDom1+11,""))</f>
        <v>45512</v>
      </c>
      <c r="O33" s="46">
        <f>IF(DAY(AgoDom1)=1,IF(AND(YEAR(AgoDom1+5)=AñoCalendario,MONTH(AgoDom1+5)=8),AgoDom1+5,""),IF(AND(YEAR(AgoDom1+12)=AñoCalendario,MONTH(AgoDom1+12)=8),AgoDom1+12,""))</f>
        <v>45513</v>
      </c>
      <c r="P33" s="46">
        <f>IF(DAY(AgoDom1)=1,IF(AND(YEAR(AgoDom1+6)=AñoCalendario,MONTH(AgoDom1+6)=8),AgoDom1+6,""),IF(AND(YEAR(AgoDom1+13)=AñoCalendario,MONTH(AgoDom1+13)=8),AgoDom1+13,""))</f>
        <v>45514</v>
      </c>
      <c r="Q33" s="15">
        <f>IF(DAY(AgoDom1)=1,IF(AND(YEAR(AgoDom1+7)=AñoCalendario,MONTH(AgoDom1+7)=8),AgoDom1+7,""),IF(AND(YEAR(AgoDom1+14)=AñoCalendario,MONTH(AgoDom1+14)=8),AgoDom1+14,""))</f>
        <v>45515</v>
      </c>
      <c r="S33" s="39"/>
      <c r="U33" s="110"/>
      <c r="V33" s="114"/>
      <c r="W33" s="115"/>
    </row>
    <row r="34" spans="1:23" ht="15" customHeight="1" x14ac:dyDescent="0.25">
      <c r="B34" s="10"/>
      <c r="C34" s="14">
        <f>IF(DAY(JulSun1)=1,IF(AND(YEAR(JulSun1+8)=AñoCalendario,MONTH(JulSun1+8)=7),JulSun1+8,""),IF(AND(YEAR(JulSun1+15)=AñoCalendario,MONTH(JulSun1+15)=7),JulSun1+15,""))</f>
        <v>45488</v>
      </c>
      <c r="D34" s="46">
        <f>IF(DAY(JulSun1)=1,IF(AND(YEAR(JulSun1+9)=AñoCalendario,MONTH(JulSun1+9)=7),JulSun1+9,""),IF(AND(YEAR(JulSun1+16)=AñoCalendario,MONTH(JulSun1+16)=7),JulSun1+16,""))</f>
        <v>45489</v>
      </c>
      <c r="E34" s="46">
        <f>IF(DAY(JulSun1)=1,IF(AND(YEAR(JulSun1+10)=AñoCalendario,MONTH(JulSun1+10)=7),JulSun1+10,""),IF(AND(YEAR(JulSun1+17)=AñoCalendario,MONTH(JulSun1+17)=7),JulSun1+17,""))</f>
        <v>45490</v>
      </c>
      <c r="F34" s="46">
        <f>IF(DAY(JulSun1)=1,IF(AND(YEAR(JulSun1+11)=AñoCalendario,MONTH(JulSun1+11)=7),JulSun1+11,""),IF(AND(YEAR(JulSun1+18)=AñoCalendario,MONTH(JulSun1+18)=7),JulSun1+18,""))</f>
        <v>45491</v>
      </c>
      <c r="G34" s="49">
        <f>IF(DAY(JulSun1)=1,IF(AND(YEAR(JulSun1+12)=AñoCalendario,MONTH(JulSun1+12)=7),JulSun1+12,""),IF(AND(YEAR(JulSun1+19)=AñoCalendario,MONTH(JulSun1+19)=7),JulSun1+19,""))</f>
        <v>45492</v>
      </c>
      <c r="H34" s="46">
        <f>IF(DAY(JulSun1)=1,IF(AND(YEAR(JulSun1+13)=AñoCalendario,MONTH(JulSun1+13)=7),JulSun1+13,""),IF(AND(YEAR(JulSun1+20)=AñoCalendario,MONTH(JulSun1+20)=7),JulSun1+20,""))</f>
        <v>45493</v>
      </c>
      <c r="I34" s="15">
        <f>IF(DAY(JulSun1)=1,IF(AND(YEAR(JulSun1+14)=AñoCalendario,MONTH(JulSun1+14)=7),JulSun1+14,""),IF(AND(YEAR(JulSun1+21)=AñoCalendario,MONTH(JulSun1+21)=7),JulSun1+21,""))</f>
        <v>45494</v>
      </c>
      <c r="J34" s="40"/>
      <c r="K34" s="14">
        <f>IF(DAY(AgoDom1)=1,IF(AND(YEAR(AgoDom1+8)=AñoCalendario,MONTH(AgoDom1+8)=8),AgoDom1+8,""),IF(AND(YEAR(AgoDom1+15)=AñoCalendario,MONTH(AgoDom1+15)=8),AgoDom1+15,""))</f>
        <v>45516</v>
      </c>
      <c r="L34" s="46">
        <f>IF(DAY(AgoDom1)=1,IF(AND(YEAR(AgoDom1+9)=AñoCalendario,MONTH(AgoDom1+9)=8),AgoDom1+9,""),IF(AND(YEAR(AgoDom1+16)=AñoCalendario,MONTH(AgoDom1+16)=8),AgoDom1+16,""))</f>
        <v>45517</v>
      </c>
      <c r="M34" s="46">
        <f>IF(DAY(AgoDom1)=1,IF(AND(YEAR(AgoDom1+10)=AñoCalendario,MONTH(AgoDom1+10)=8),AgoDom1+10,""),IF(AND(YEAR(AgoDom1+17)=AñoCalendario,MONTH(AgoDom1+17)=8),AgoDom1+17,""))</f>
        <v>45518</v>
      </c>
      <c r="N34" s="46">
        <f>IF(DAY(AgoDom1)=1,IF(AND(YEAR(AgoDom1+11)=AñoCalendario,MONTH(AgoDom1+11)=8),AgoDom1+11,""),IF(AND(YEAR(AgoDom1+18)=AñoCalendario,MONTH(AgoDom1+18)=8),AgoDom1+18,""))</f>
        <v>45519</v>
      </c>
      <c r="O34" s="49">
        <f>IF(DAY(AgoDom1)=1,IF(AND(YEAR(AgoDom1+12)=AñoCalendario,MONTH(AgoDom1+12)=8),AgoDom1+12,""),IF(AND(YEAR(AgoDom1+19)=AñoCalendario,MONTH(AgoDom1+19)=8),AgoDom1+19,""))</f>
        <v>45520</v>
      </c>
      <c r="P34" s="46">
        <f>IF(DAY(AgoDom1)=1,IF(AND(YEAR(AgoDom1+13)=AñoCalendario,MONTH(AgoDom1+13)=8),AgoDom1+13,""),IF(AND(YEAR(AgoDom1+20)=AñoCalendario,MONTH(AgoDom1+20)=8),AgoDom1+20,""))</f>
        <v>45521</v>
      </c>
      <c r="Q34" s="15">
        <f>IF(DAY(AgoDom1)=1,IF(AND(YEAR(AgoDom1+14)=AñoCalendario,MONTH(AgoDom1+14)=8),AgoDom1+14,""),IF(AND(YEAR(AgoDom1+21)=AñoCalendario,MONTH(AgoDom1+21)=8),AgoDom1+21,""))</f>
        <v>45522</v>
      </c>
      <c r="S34" s="39"/>
      <c r="U34" s="110"/>
      <c r="V34" s="114"/>
      <c r="W34" s="115"/>
    </row>
    <row r="35" spans="1:23" ht="15" customHeight="1" x14ac:dyDescent="0.25">
      <c r="B35" s="10"/>
      <c r="C35" s="16">
        <f>IF(DAY(JulSun1)=1,IF(AND(YEAR(JulSun1+15)=AñoCalendario,MONTH(JulSun1+15)=7),JulSun1+15,""),IF(AND(YEAR(JulSun1+22)=AñoCalendario,MONTH(JulSun1+22)=7),JulSun1+22,""))</f>
        <v>45495</v>
      </c>
      <c r="D35" s="46">
        <f>IF(DAY(JulSun1)=1,IF(AND(YEAR(JulSun1+16)=AñoCalendario,MONTH(JulSun1+16)=7),JulSun1+16,""),IF(AND(YEAR(JulSun1+23)=AñoCalendario,MONTH(JulSun1+23)=7),JulSun1+23,""))</f>
        <v>45496</v>
      </c>
      <c r="E35" s="46">
        <f>IF(DAY(JulSun1)=1,IF(AND(YEAR(JulSun1+17)=AñoCalendario,MONTH(JulSun1+17)=7),JulSun1+17,""),IF(AND(YEAR(JulSun1+24)=AñoCalendario,MONTH(JulSun1+24)=7),JulSun1+24,""))</f>
        <v>45497</v>
      </c>
      <c r="F35" s="46">
        <f>IF(DAY(JulSun1)=1,IF(AND(YEAR(JulSun1+18)=AñoCalendario,MONTH(JulSun1+18)=7),JulSun1+18,""),IF(AND(YEAR(JulSun1+25)=AñoCalendario,MONTH(JulSun1+25)=7),JulSun1+25,""))</f>
        <v>45498</v>
      </c>
      <c r="G35" s="55">
        <f>IF(DAY(JulSun1)=1,IF(AND(YEAR(JulSun1+19)=AñoCalendario,MONTH(JulSun1+19)=7),JulSun1+19,""),IF(AND(YEAR(JulSun1+26)=AñoCalendario,MONTH(JulSun1+26)=7),JulSun1+26,""))</f>
        <v>45499</v>
      </c>
      <c r="H35" s="46">
        <f>IF(DAY(JulSun1)=1,IF(AND(YEAR(JulSun1+20)=AñoCalendario,MONTH(JulSun1+20)=7),JulSun1+20,""),IF(AND(YEAR(JulSun1+27)=AñoCalendario,MONTH(JulSun1+27)=7),JulSun1+27,""))</f>
        <v>45500</v>
      </c>
      <c r="I35" s="15">
        <f>IF(DAY(JulSun1)=1,IF(AND(YEAR(JulSun1+21)=AñoCalendario,MONTH(JulSun1+21)=7),JulSun1+21,""),IF(AND(YEAR(JulSun1+28)=AñoCalendario,MONTH(JulSun1+28)=7),JulSun1+28,""))</f>
        <v>45501</v>
      </c>
      <c r="J35" s="40"/>
      <c r="K35" s="16">
        <f>IF(DAY(AgoDom1)=1,IF(AND(YEAR(AgoDom1+15)=AñoCalendario,MONTH(AgoDom1+15)=8),AgoDom1+15,""),IF(AND(YEAR(AgoDom1+22)=AñoCalendario,MONTH(AgoDom1+22)=8),AgoDom1+22,""))</f>
        <v>45523</v>
      </c>
      <c r="L35" s="46">
        <f>IF(DAY(AgoDom1)=1,IF(AND(YEAR(AgoDom1+16)=AñoCalendario,MONTH(AgoDom1+16)=8),AgoDom1+16,""),IF(AND(YEAR(AgoDom1+23)=AñoCalendario,MONTH(AgoDom1+23)=8),AgoDom1+23,""))</f>
        <v>45524</v>
      </c>
      <c r="M35" s="46">
        <f>IF(DAY(AgoDom1)=1,IF(AND(YEAR(AgoDom1+17)=AñoCalendario,MONTH(AgoDom1+17)=8),AgoDom1+17,""),IF(AND(YEAR(AgoDom1+24)=AñoCalendario,MONTH(AgoDom1+24)=8),AgoDom1+24,""))</f>
        <v>45525</v>
      </c>
      <c r="N35" s="46">
        <f>IF(DAY(AgoDom1)=1,IF(AND(YEAR(AgoDom1+18)=AñoCalendario,MONTH(AgoDom1+18)=8),AgoDom1+18,""),IF(AND(YEAR(AgoDom1+25)=AñoCalendario,MONTH(AgoDom1+25)=8),AgoDom1+25,""))</f>
        <v>45526</v>
      </c>
      <c r="O35" s="46">
        <f>IF(DAY(AgoDom1)=1,IF(AND(YEAR(AgoDom1+19)=AñoCalendario,MONTH(AgoDom1+19)=8),AgoDom1+19,""),IF(AND(YEAR(AgoDom1+26)=AñoCalendario,MONTH(AgoDom1+26)=8),AgoDom1+26,""))</f>
        <v>45527</v>
      </c>
      <c r="P35" s="46">
        <f>IF(DAY(AgoDom1)=1,IF(AND(YEAR(AgoDom1+20)=AñoCalendario,MONTH(AgoDom1+20)=8),AgoDom1+20,""),IF(AND(YEAR(AgoDom1+27)=AñoCalendario,MONTH(AgoDom1+27)=8),AgoDom1+27,""))</f>
        <v>45528</v>
      </c>
      <c r="Q35" s="15">
        <f>IF(DAY(AgoDom1)=1,IF(AND(YEAR(AgoDom1+21)=AñoCalendario,MONTH(AgoDom1+21)=8),AgoDom1+21,""),IF(AND(YEAR(AgoDom1+28)=AñoCalendario,MONTH(AgoDom1+28)=8),AgoDom1+28,""))</f>
        <v>45529</v>
      </c>
      <c r="S35" s="39"/>
      <c r="U35" s="110"/>
      <c r="V35" s="114"/>
      <c r="W35" s="8" t="s">
        <v>95</v>
      </c>
    </row>
    <row r="36" spans="1:23" ht="15" customHeight="1" x14ac:dyDescent="0.25">
      <c r="B36" s="10"/>
      <c r="C36" s="14">
        <f>IF(DAY(JulSun1)=1,IF(AND(YEAR(JulSun1+22)=AñoCalendario,MONTH(JulSun1+22)=7),JulSun1+22,""),IF(AND(YEAR(JulSun1+29)=AñoCalendario,MONTH(JulSun1+29)=7),JulSun1+29,""))</f>
        <v>45502</v>
      </c>
      <c r="D36" s="46">
        <f>IF(DAY(JulSun1)=1,IF(AND(YEAR(JulSun1+23)=AñoCalendario,MONTH(JulSun1+23)=7),JulSun1+23,""),IF(AND(YEAR(JulSun1+30)=AñoCalendario,MONTH(JulSun1+30)=7),JulSun1+30,""))</f>
        <v>45503</v>
      </c>
      <c r="E36" s="46">
        <f>IF(DAY(JulSun1)=1,IF(AND(YEAR(JulSun1+24)=AñoCalendario,MONTH(JulSun1+24)=7),JulSun1+24,""),IF(AND(YEAR(JulSun1+31)=AñoCalendario,MONTH(JulSun1+31)=7),JulSun1+31,""))</f>
        <v>45504</v>
      </c>
      <c r="F36" s="46" t="str">
        <f>IF(DAY(JulSun1)=1,IF(AND(YEAR(JulSun1+25)=AñoCalendario,MONTH(JulSun1+25)=7),JulSun1+25,""),IF(AND(YEAR(JulSun1+32)=AñoCalendario,MONTH(JulSun1+32)=7),JulSun1+32,""))</f>
        <v/>
      </c>
      <c r="G36" s="46" t="str">
        <f>IF(DAY(JulSun1)=1,IF(AND(YEAR(JulSun1+26)=AñoCalendario,MONTH(JulSun1+26)=7),JulSun1+26,""),IF(AND(YEAR(JulSun1+33)=AñoCalendario,MONTH(JulSun1+33)=7),JulSun1+33,""))</f>
        <v/>
      </c>
      <c r="H36" s="46" t="str">
        <f>IF(DAY(JulSun1)=1,IF(AND(YEAR(JulSun1+27)=AñoCalendario,MONTH(JulSun1+27)=7),JulSun1+27,""),IF(AND(YEAR(JulSun1+34)=AñoCalendario,MONTH(JulSun1+34)=7),JulSun1+34,""))</f>
        <v/>
      </c>
      <c r="I36" s="15" t="str">
        <f>IF(DAY(JulSun1)=1,IF(AND(YEAR(JulSun1+28)=AñoCalendario,MONTH(JulSun1+28)=7),JulSun1+28,""),IF(AND(YEAR(JulSun1+35)=AñoCalendario,MONTH(JulSun1+35)=7),JulSun1+35,""))</f>
        <v/>
      </c>
      <c r="J36" s="40"/>
      <c r="K36" s="14">
        <f>IF(DAY(AgoDom1)=1,IF(AND(YEAR(AgoDom1+22)=AñoCalendario,MONTH(AgoDom1+22)=8),AgoDom1+22,""),IF(AND(YEAR(AgoDom1+29)=AñoCalendario,MONTH(AgoDom1+29)=8),AgoDom1+29,""))</f>
        <v>45530</v>
      </c>
      <c r="L36" s="46">
        <f>IF(DAY(AgoDom1)=1,IF(AND(YEAR(AgoDom1+23)=AñoCalendario,MONTH(AgoDom1+23)=8),AgoDom1+23,""),IF(AND(YEAR(AgoDom1+30)=AñoCalendario,MONTH(AgoDom1+30)=8),AgoDom1+30,""))</f>
        <v>45531</v>
      </c>
      <c r="M36" s="46">
        <f>IF(DAY(AgoDom1)=1,IF(AND(YEAR(AgoDom1+24)=AñoCalendario,MONTH(AgoDom1+24)=8),AgoDom1+24,""),IF(AND(YEAR(AgoDom1+31)=AñoCalendario,MONTH(AgoDom1+31)=8),AgoDom1+31,""))</f>
        <v>45532</v>
      </c>
      <c r="N36" s="46">
        <f>IF(DAY(AgoDom1)=1,IF(AND(YEAR(AgoDom1+25)=AñoCalendario,MONTH(AgoDom1+25)=8),AgoDom1+25,""),IF(AND(YEAR(AgoDom1+32)=AñoCalendario,MONTH(AgoDom1+32)=8),AgoDom1+32,""))</f>
        <v>45533</v>
      </c>
      <c r="O36" s="46">
        <f>IF(DAY(AgoDom1)=1,IF(AND(YEAR(AgoDom1+26)=AñoCalendario,MONTH(AgoDom1+26)=8),AgoDom1+26,""),IF(AND(YEAR(AgoDom1+33)=AñoCalendario,MONTH(AgoDom1+33)=8),AgoDom1+33,""))</f>
        <v>45534</v>
      </c>
      <c r="P36" s="46">
        <f>IF(DAY(AgoDom1)=1,IF(AND(YEAR(AgoDom1+27)=AñoCalendario,MONTH(AgoDom1+27)=8),AgoDom1+27,""),IF(AND(YEAR(AgoDom1+34)=AñoCalendario,MONTH(AgoDom1+34)=8),AgoDom1+34,""))</f>
        <v>45535</v>
      </c>
      <c r="Q36" s="15" t="str">
        <f>IF(DAY(AgoDom1)=1,IF(AND(YEAR(AgoDom1+28)=AñoCalendario,MONTH(AgoDom1+28)=8),AgoDom1+28,""),IF(AND(YEAR(AgoDom1+35)=AñoCalendario,MONTH(AgoDom1+35)=8),AgoDom1+35,""))</f>
        <v/>
      </c>
      <c r="S36" s="39"/>
      <c r="U36" s="110"/>
      <c r="V36" s="114"/>
      <c r="W36" s="8" t="s">
        <v>96</v>
      </c>
    </row>
    <row r="37" spans="1:23" ht="15" customHeight="1" thickBot="1" x14ac:dyDescent="0.3">
      <c r="B37" s="10"/>
      <c r="C37" s="18" t="str">
        <f>IF(DAY(JulSun1)=1,IF(AND(YEAR(JulSun1+29)=AñoCalendario,MONTH(JulSun1+29)=7),JulSun1+29,""),IF(AND(YEAR(JulSun1+36)=AñoCalendario,MONTH(JulSun1+36)=7),JulSun1+36,""))</f>
        <v/>
      </c>
      <c r="D37" s="19" t="str">
        <f>IF(DAY(JulSun1)=1,IF(AND(YEAR(JulSun1+30)=AñoCalendario,MONTH(JulSun1+30)=7),JulSun1+30,""),IF(AND(YEAR(JulSun1+37)=AñoCalendario,MONTH(JulSun1+37)=7),JulSun1+37,""))</f>
        <v/>
      </c>
      <c r="E37" s="19" t="str">
        <f>IF(DAY(JulSun1)=1,IF(AND(YEAR(JulSun1+31)=AñoCalendario,MONTH(JulSun1+31)=7),JulSun1+31,""),IF(AND(YEAR(JulSun1+38)=AñoCalendario,MONTH(JulSun1+38)=7),JulSun1+38,""))</f>
        <v/>
      </c>
      <c r="F37" s="19" t="str">
        <f>IF(DAY(JulSun1)=1,IF(AND(YEAR(JulSun1+32)=AñoCalendario,MONTH(JulSun1+32)=7),JulSun1+32,""),IF(AND(YEAR(JulSun1+39)=AñoCalendario,MONTH(JulSun1+39)=7),JulSun1+39,""))</f>
        <v/>
      </c>
      <c r="G37" s="19" t="str">
        <f>IF(DAY(JulSun1)=1,IF(AND(YEAR(JulSun1+33)=AñoCalendario,MONTH(JulSun1+33)=7),JulSun1+33,""),IF(AND(YEAR(JulSun1+40)=AñoCalendario,MONTH(JulSun1+40)=7),JulSun1+40,""))</f>
        <v/>
      </c>
      <c r="H37" s="19" t="str">
        <f>IF(DAY(JulSun1)=1,IF(AND(YEAR(JulSun1+34)=AñoCalendario,MONTH(JulSun1+34)=7),JulSun1+34,""),IF(AND(YEAR(JulSun1+41)=AñoCalendario,MONTH(JulSun1+41)=7),JulSun1+41,""))</f>
        <v/>
      </c>
      <c r="I37" s="20" t="str">
        <f>IF(DAY(JulSun1)=1,IF(AND(YEAR(JulSun1+35)=AñoCalendario,MONTH(JulSun1+35)=7),JulSun1+35,""),IF(AND(YEAR(JulSun1+42)=AñoCalendario,MONTH(JulSun1+42)=7),JulSun1+42,""))</f>
        <v/>
      </c>
      <c r="J37" s="40"/>
      <c r="K37" s="18" t="str">
        <f>IF(DAY(AgoDom1)=1,IF(AND(YEAR(AgoDom1+29)=AñoCalendario,MONTH(AgoDom1+29)=8),AgoDom1+29,""),IF(AND(YEAR(AgoDom1+36)=AñoCalendario,MONTH(AgoDom1+36)=8),AgoDom1+36,""))</f>
        <v/>
      </c>
      <c r="L37" s="19" t="str">
        <f>IF(DAY(AgoDom1)=1,IF(AND(YEAR(AgoDom1+30)=AñoCalendario,MONTH(AgoDom1+30)=8),AgoDom1+30,""),IF(AND(YEAR(AgoDom1+37)=AñoCalendario,MONTH(AgoDom1+37)=8),AgoDom1+37,""))</f>
        <v/>
      </c>
      <c r="M37" s="19" t="str">
        <f>IF(DAY(AgoDom1)=1,IF(AND(YEAR(AgoDom1+31)=AñoCalendario,MONTH(AgoDom1+31)=8),AgoDom1+31,""),IF(AND(YEAR(AgoDom1+38)=AñoCalendario,MONTH(AgoDom1+38)=8),AgoDom1+38,""))</f>
        <v/>
      </c>
      <c r="N37" s="19" t="str">
        <f>IF(DAY(AgoDom1)=1,IF(AND(YEAR(AgoDom1+32)=AñoCalendario,MONTH(AgoDom1+32)=8),AgoDom1+32,""),IF(AND(YEAR(AgoDom1+39)=AñoCalendario,MONTH(AgoDom1+39)=8),AgoDom1+39,""))</f>
        <v/>
      </c>
      <c r="O37" s="19" t="str">
        <f>IF(DAY(AgoDom1)=1,IF(AND(YEAR(AgoDom1+33)=AñoCalendario,MONTH(AgoDom1+33)=8),AgoDom1+33,""),IF(AND(YEAR(AgoDom1+40)=AñoCalendario,MONTH(AgoDom1+40)=8),AgoDom1+40,""))</f>
        <v/>
      </c>
      <c r="P37" s="19" t="str">
        <f>IF(DAY(AgoDom1)=1,IF(AND(YEAR(AgoDom1+34)=AñoCalendario,MONTH(AgoDom1+34)=8),AgoDom1+34,""),IF(AND(YEAR(AgoDom1+41)=AñoCalendario,MONTH(AgoDom1+41)=8),AgoDom1+41,""))</f>
        <v/>
      </c>
      <c r="Q37" s="20" t="str">
        <f>IF(DAY(AgoDom1)=1,IF(AND(YEAR(AgoDom1+35)=AñoCalendario,MONTH(AgoDom1+35)=8),AgoDom1+35,""),IF(AND(YEAR(AgoDom1+42)=AñoCalendario,MONTH(AgoDom1+42)=8),AgoDom1+42,""))</f>
        <v/>
      </c>
      <c r="S37" s="39"/>
      <c r="U37" s="111"/>
      <c r="V37" s="113"/>
      <c r="W37" s="28"/>
    </row>
    <row r="38" spans="1:23" ht="15" customHeight="1" thickBot="1" x14ac:dyDescent="0.3">
      <c r="B38" s="10"/>
      <c r="C38" s="46"/>
      <c r="D38" s="46"/>
      <c r="E38" s="46"/>
      <c r="F38" s="46"/>
      <c r="G38" s="46"/>
      <c r="H38" s="46"/>
      <c r="I38" s="46"/>
      <c r="J38" s="40"/>
      <c r="K38" s="46"/>
      <c r="L38" s="46"/>
      <c r="M38" s="46"/>
      <c r="N38" s="46"/>
      <c r="O38" s="46"/>
      <c r="P38" s="46"/>
      <c r="Q38" s="46"/>
      <c r="S38" s="39"/>
      <c r="V38" s="56"/>
      <c r="W38" s="27"/>
    </row>
    <row r="39" spans="1:23" ht="15" customHeight="1" x14ac:dyDescent="0.25">
      <c r="A39" s="6" t="s">
        <v>97</v>
      </c>
      <c r="B39" s="10"/>
      <c r="C39" s="91" t="s">
        <v>98</v>
      </c>
      <c r="D39" s="92"/>
      <c r="E39" s="92"/>
      <c r="F39" s="92"/>
      <c r="G39" s="92"/>
      <c r="H39" s="92"/>
      <c r="I39" s="93"/>
      <c r="J39" s="40"/>
      <c r="K39" s="91" t="s">
        <v>99</v>
      </c>
      <c r="L39" s="92"/>
      <c r="M39" s="92"/>
      <c r="N39" s="92"/>
      <c r="O39" s="92"/>
      <c r="P39" s="92"/>
      <c r="Q39" s="93"/>
      <c r="S39" s="39"/>
      <c r="V39" s="57"/>
      <c r="W39" s="29"/>
    </row>
    <row r="40" spans="1:23" ht="15" customHeight="1" x14ac:dyDescent="0.25">
      <c r="A40" s="6" t="s">
        <v>100</v>
      </c>
      <c r="B40" s="10"/>
      <c r="C40" s="12" t="s">
        <v>55</v>
      </c>
      <c r="D40" s="43" t="s">
        <v>56</v>
      </c>
      <c r="E40" s="43" t="s">
        <v>70</v>
      </c>
      <c r="F40" s="43" t="s">
        <v>58</v>
      </c>
      <c r="G40" s="43" t="s">
        <v>59</v>
      </c>
      <c r="H40" s="43" t="s">
        <v>60</v>
      </c>
      <c r="I40" s="13" t="s">
        <v>61</v>
      </c>
      <c r="J40" s="40"/>
      <c r="K40" s="12" t="s">
        <v>55</v>
      </c>
      <c r="L40" s="43" t="s">
        <v>56</v>
      </c>
      <c r="M40" s="43" t="s">
        <v>70</v>
      </c>
      <c r="N40" s="43" t="s">
        <v>58</v>
      </c>
      <c r="O40" s="43" t="s">
        <v>59</v>
      </c>
      <c r="P40" s="43" t="s">
        <v>60</v>
      </c>
      <c r="Q40" s="13" t="s">
        <v>61</v>
      </c>
      <c r="S40" s="39"/>
      <c r="V40" s="58"/>
      <c r="W40" s="29"/>
    </row>
    <row r="41" spans="1:23" ht="15" customHeight="1" x14ac:dyDescent="0.25">
      <c r="B41" s="10"/>
      <c r="C41" s="14" t="str">
        <f>IF(DAY(SepDom1)=1,"",IF(AND(YEAR(SepDom1+1)=AñoCalendario,MONTH(SepDom1+1)=9),SepDom1+1,""))</f>
        <v/>
      </c>
      <c r="D41" s="46" t="str">
        <f>IF(DAY(SepDom1)=1,"",IF(AND(YEAR(SepDom1+2)=AñoCalendario,MONTH(SepDom1+2)=9),SepDom1+2,""))</f>
        <v/>
      </c>
      <c r="E41" s="46" t="str">
        <f>IF(DAY(SepDom1)=1,"",IF(AND(YEAR(SepDom1+3)=AñoCalendario,MONTH(SepDom1+3)=9),SepDom1+3,""))</f>
        <v/>
      </c>
      <c r="F41" s="46" t="str">
        <f>IF(DAY(SepDom1)=1,"",IF(AND(YEAR(SepDom1+4)=AñoCalendario,MONTH(SepDom1+4)=9),SepDom1+4,""))</f>
        <v/>
      </c>
      <c r="G41" s="46" t="str">
        <f>IF(DAY(SepDom1)=1,"",IF(AND(YEAR(SepDom1+5)=AñoCalendario,MONTH(SepDom1+5)=9),SepDom1+5,""))</f>
        <v/>
      </c>
      <c r="H41" s="46" t="str">
        <f>IF(DAY(SepDom1)=1,"",IF(AND(YEAR(SepDom1+6)=AñoCalendario,MONTH(SepDom1+6)=9),SepDom1+6,""))</f>
        <v/>
      </c>
      <c r="I41" s="15">
        <f>IF(DAY(SepDom1)=1,IF(AND(YEAR(SepDom1)=AñoCalendario,MONTH(SepDom1)=9),SepDom1,""),IF(AND(YEAR(SepDom1+7)=AñoCalendario,MONTH(SepDom1+7)=9),SepDom1+7,""))</f>
        <v>45536</v>
      </c>
      <c r="J41" s="40"/>
      <c r="K41" s="14" t="str">
        <f>IF(DAY(OctSun1)=1,"",IF(AND(YEAR(OctSun1+1)=AñoCalendario,MONTH(OctSun1+1)=10),OctSun1+1,""))</f>
        <v/>
      </c>
      <c r="L41" s="46">
        <f>IF(DAY(OctSun1)=1,"",IF(AND(YEAR(OctSun1+2)=AñoCalendario,MONTH(OctSun1+2)=10),OctSun1+2,""))</f>
        <v>45566</v>
      </c>
      <c r="M41" s="46">
        <f>IF(DAY(OctSun1)=1,"",IF(AND(YEAR(OctSun1+3)=AñoCalendario,MONTH(OctSun1+3)=10),OctSun1+3,""))</f>
        <v>45567</v>
      </c>
      <c r="N41" s="46">
        <f>IF(DAY(OctSun1)=1,"",IF(AND(YEAR(OctSun1+4)=AñoCalendario,MONTH(OctSun1+4)=10),OctSun1+4,""))</f>
        <v>45568</v>
      </c>
      <c r="O41" s="47">
        <f>IF(DAY(OctSun1)=1,"",IF(AND(YEAR(OctSun1+5)=AñoCalendario,MONTH(OctSun1+5)=10),OctSun1+5,""))</f>
        <v>45569</v>
      </c>
      <c r="P41" s="46">
        <f>IF(DAY(OctSun1)=1,"",IF(AND(YEAR(OctSun1+6)=AñoCalendario,MONTH(OctSun1+6)=10),OctSun1+6,""))</f>
        <v>45570</v>
      </c>
      <c r="Q41" s="15">
        <f>IF(DAY(OctSun1)=1,IF(AND(YEAR(OctSun1)=AñoCalendario,MONTH(OctSun1)=10),OctSun1,""),IF(AND(YEAR(OctSun1+7)=AñoCalendario,MONTH(OctSun1+7)=10),OctSun1+7,""))</f>
        <v>45571</v>
      </c>
      <c r="S41" s="39"/>
      <c r="W41" s="17"/>
    </row>
    <row r="42" spans="1:23" ht="15" customHeight="1" x14ac:dyDescent="0.25">
      <c r="B42" s="10"/>
      <c r="C42" s="14">
        <f>IF(DAY(SepDom1)=1,IF(AND(YEAR(SepDom1+1)=AñoCalendario,MONTH(SepDom1+1)=9),SepDom1+1,""),IF(AND(YEAR(SepDom1+8)=AñoCalendario,MONTH(SepDom1+8)=9),SepDom1+8,""))</f>
        <v>45537</v>
      </c>
      <c r="D42" s="46">
        <f>IF(DAY(SepDom1)=1,IF(AND(YEAR(SepDom1+2)=AñoCalendario,MONTH(SepDom1+2)=9),SepDom1+2,""),IF(AND(YEAR(SepDom1+9)=AñoCalendario,MONTH(SepDom1+9)=9),SepDom1+9,""))</f>
        <v>45538</v>
      </c>
      <c r="E42" s="46">
        <f>IF(DAY(SepDom1)=1,IF(AND(YEAR(SepDom1+3)=AñoCalendario,MONTH(SepDom1+3)=9),SepDom1+3,""),IF(AND(YEAR(SepDom1+10)=AñoCalendario,MONTH(SepDom1+10)=9),SepDom1+10,""))</f>
        <v>45539</v>
      </c>
      <c r="F42" s="46">
        <f>IF(DAY(SepDom1)=1,IF(AND(YEAR(SepDom1+4)=AñoCalendario,MONTH(SepDom1+4)=9),SepDom1+4,""),IF(AND(YEAR(SepDom1+11)=AñoCalendario,MONTH(SepDom1+11)=9),SepDom1+11,""))</f>
        <v>45540</v>
      </c>
      <c r="G42" s="47">
        <f>IF(DAY(SepDom1)=1,IF(AND(YEAR(SepDom1+5)=AñoCalendario,MONTH(SepDom1+5)=9),SepDom1+5,""),IF(AND(YEAR(SepDom1+12)=AñoCalendario,MONTH(SepDom1+12)=9),SepDom1+12,""))</f>
        <v>45541</v>
      </c>
      <c r="H42" s="46">
        <f>IF(DAY(SepDom1)=1,IF(AND(YEAR(SepDom1+6)=AñoCalendario,MONTH(SepDom1+6)=9),SepDom1+6,""),IF(AND(YEAR(SepDom1+13)=AñoCalendario,MONTH(SepDom1+13)=9),SepDom1+13,""))</f>
        <v>45542</v>
      </c>
      <c r="I42" s="15">
        <f>IF(DAY(SepDom1)=1,IF(AND(YEAR(SepDom1+7)=AñoCalendario,MONTH(SepDom1+7)=9),SepDom1+7,""),IF(AND(YEAR(SepDom1+14)=AñoCalendario,MONTH(SepDom1+14)=9),SepDom1+14,""))</f>
        <v>45543</v>
      </c>
      <c r="J42" s="40"/>
      <c r="K42" s="16">
        <f>IF(DAY(OctSun1)=1,IF(AND(YEAR(OctSun1+1)=AñoCalendario,MONTH(OctSun1+1)=10),OctSun1+1,""),IF(AND(YEAR(OctSun1+8)=AñoCalendario,MONTH(OctSun1+8)=10),OctSun1+8,""))</f>
        <v>45572</v>
      </c>
      <c r="L42" s="46">
        <f>IF(DAY(OctSun1)=1,IF(AND(YEAR(OctSun1+2)=AñoCalendario,MONTH(OctSun1+2)=10),OctSun1+2,""),IF(AND(YEAR(OctSun1+9)=AñoCalendario,MONTH(OctSun1+9)=10),OctSun1+9,""))</f>
        <v>45573</v>
      </c>
      <c r="M42" s="46">
        <f>IF(DAY(OctSun1)=1,IF(AND(YEAR(OctSun1+3)=AñoCalendario,MONTH(OctSun1+3)=10),OctSun1+3,""),IF(AND(YEAR(OctSun1+10)=AñoCalendario,MONTH(OctSun1+10)=10),OctSun1+10,""))</f>
        <v>45574</v>
      </c>
      <c r="N42" s="46">
        <f>IF(DAY(OctSun1)=1,IF(AND(YEAR(OctSun1+4)=AñoCalendario,MONTH(OctSun1+4)=10),OctSun1+4,""),IF(AND(YEAR(OctSun1+11)=AñoCalendario,MONTH(OctSun1+11)=10),OctSun1+11,""))</f>
        <v>45575</v>
      </c>
      <c r="O42" s="46">
        <f>IF(DAY(OctSun1)=1,IF(AND(YEAR(OctSun1+5)=AñoCalendario,MONTH(OctSun1+5)=10),OctSun1+5,""),IF(AND(YEAR(OctSun1+12)=AñoCalendario,MONTH(OctSun1+12)=10),OctSun1+12,""))</f>
        <v>45576</v>
      </c>
      <c r="P42" s="46">
        <f>IF(DAY(OctSun1)=1,IF(AND(YEAR(OctSun1+6)=AñoCalendario,MONTH(OctSun1+6)=10),OctSun1+6,""),IF(AND(YEAR(OctSun1+13)=AñoCalendario,MONTH(OctSun1+13)=10),OctSun1+13,""))</f>
        <v>45577</v>
      </c>
      <c r="Q42" s="15">
        <f>IF(DAY(OctSun1)=1,IF(AND(YEAR(OctSun1+7)=AñoCalendario,MONTH(OctSun1+7)=10),OctSun1+7,""),IF(AND(YEAR(OctSun1+14)=AñoCalendario,MONTH(OctSun1+14)=10),OctSun1+14,""))</f>
        <v>45578</v>
      </c>
      <c r="S42" s="39"/>
      <c r="V42" s="57"/>
      <c r="W42" s="29"/>
    </row>
    <row r="43" spans="1:23" ht="15" customHeight="1" x14ac:dyDescent="0.25">
      <c r="B43" s="10"/>
      <c r="C43" s="16">
        <f>IF(DAY(SepDom1)=1,IF(AND(YEAR(SepDom1+8)=AñoCalendario,MONTH(SepDom1+8)=9),SepDom1+8,""),IF(AND(YEAR(SepDom1+15)=AñoCalendario,MONTH(SepDom1+15)=9),SepDom1+15,""))</f>
        <v>45544</v>
      </c>
      <c r="D43" s="46">
        <f>IF(DAY(SepDom1)=1,IF(AND(YEAR(SepDom1+9)=AñoCalendario,MONTH(SepDom1+9)=9),SepDom1+9,""),IF(AND(YEAR(SepDom1+16)=AñoCalendario,MONTH(SepDom1+16)=9),SepDom1+16,""))</f>
        <v>45545</v>
      </c>
      <c r="E43" s="46">
        <f>IF(DAY(SepDom1)=1,IF(AND(YEAR(SepDom1+10)=AñoCalendario,MONTH(SepDom1+10)=9),SepDom1+10,""),IF(AND(YEAR(SepDom1+17)=AñoCalendario,MONTH(SepDom1+17)=9),SepDom1+17,""))</f>
        <v>45546</v>
      </c>
      <c r="F43" s="46">
        <f>IF(DAY(SepDom1)=1,IF(AND(YEAR(SepDom1+11)=AñoCalendario,MONTH(SepDom1+11)=9),SepDom1+11,""),IF(AND(YEAR(SepDom1+18)=AñoCalendario,MONTH(SepDom1+18)=9),SepDom1+18,""))</f>
        <v>45547</v>
      </c>
      <c r="G43" s="46">
        <f>IF(DAY(SepDom1)=1,IF(AND(YEAR(SepDom1+12)=AñoCalendario,MONTH(SepDom1+12)=9),SepDom1+12,""),IF(AND(YEAR(SepDom1+19)=AñoCalendario,MONTH(SepDom1+19)=9),SepDom1+19,""))</f>
        <v>45548</v>
      </c>
      <c r="H43" s="46">
        <f>IF(DAY(SepDom1)=1,IF(AND(YEAR(SepDom1+13)=AñoCalendario,MONTH(SepDom1+13)=9),SepDom1+13,""),IF(AND(YEAR(SepDom1+20)=AñoCalendario,MONTH(SepDom1+20)=9),SepDom1+20,""))</f>
        <v>45549</v>
      </c>
      <c r="I43" s="15">
        <f>IF(DAY(SepDom1)=1,IF(AND(YEAR(SepDom1+14)=AñoCalendario,MONTH(SepDom1+14)=9),SepDom1+14,""),IF(AND(YEAR(SepDom1+21)=AñoCalendario,MONTH(SepDom1+21)=9),SepDom1+21,""))</f>
        <v>45550</v>
      </c>
      <c r="J43" s="40"/>
      <c r="K43" s="14">
        <f>IF(DAY(OctSun1)=1,IF(AND(YEAR(OctSun1+8)=AñoCalendario,MONTH(OctSun1+8)=10),OctSun1+8,""),IF(AND(YEAR(OctSun1+15)=AñoCalendario,MONTH(OctSun1+15)=10),OctSun1+15,""))</f>
        <v>45579</v>
      </c>
      <c r="L43" s="46">
        <f>IF(DAY(OctSun1)=1,IF(AND(YEAR(OctSun1+9)=AñoCalendario,MONTH(OctSun1+9)=10),OctSun1+9,""),IF(AND(YEAR(OctSun1+16)=AñoCalendario,MONTH(OctSun1+16)=10),OctSun1+16,""))</f>
        <v>45580</v>
      </c>
      <c r="M43" s="46">
        <f>IF(DAY(OctSun1)=1,IF(AND(YEAR(OctSun1+10)=AñoCalendario,MONTH(OctSun1+10)=10),OctSun1+10,""),IF(AND(YEAR(OctSun1+17)=AñoCalendario,MONTH(OctSun1+17)=10),OctSun1+17,""))</f>
        <v>45581</v>
      </c>
      <c r="N43" s="46">
        <f>IF(DAY(OctSun1)=1,IF(AND(YEAR(OctSun1+11)=AñoCalendario,MONTH(OctSun1+11)=10),OctSun1+11,""),IF(AND(YEAR(OctSun1+18)=AñoCalendario,MONTH(OctSun1+18)=10),OctSun1+18,""))</f>
        <v>45582</v>
      </c>
      <c r="O43" s="49">
        <f>IF(DAY(OctSun1)=1,IF(AND(YEAR(OctSun1+12)=AñoCalendario,MONTH(OctSun1+12)=10),OctSun1+12,""),IF(AND(YEAR(OctSun1+19)=AñoCalendario,MONTH(OctSun1+19)=10),OctSun1+19,""))</f>
        <v>45583</v>
      </c>
      <c r="P43" s="46">
        <f>IF(DAY(OctSun1)=1,IF(AND(YEAR(OctSun1+13)=AñoCalendario,MONTH(OctSun1+13)=10),OctSun1+13,""),IF(AND(YEAR(OctSun1+20)=AñoCalendario,MONTH(OctSun1+20)=10),OctSun1+20,""))</f>
        <v>45584</v>
      </c>
      <c r="Q43" s="15">
        <f>IF(DAY(OctSun1)=1,IF(AND(YEAR(OctSun1+14)=AñoCalendario,MONTH(OctSun1+14)=10),OctSun1+14,""),IF(AND(YEAR(OctSun1+21)=AñoCalendario,MONTH(OctSun1+21)=10),OctSun1+21,""))</f>
        <v>45585</v>
      </c>
      <c r="S43" s="39"/>
      <c r="V43" s="58"/>
      <c r="W43" s="29"/>
    </row>
    <row r="44" spans="1:23" ht="15" customHeight="1" x14ac:dyDescent="0.25">
      <c r="A44" s="6" t="s">
        <v>101</v>
      </c>
      <c r="B44" s="10"/>
      <c r="C44" s="14">
        <f>IF(DAY(SepDom1)=1,IF(AND(YEAR(SepDom1+15)=AñoCalendario,MONTH(SepDom1+15)=9),SepDom1+15,""),IF(AND(YEAR(SepDom1+22)=AñoCalendario,MONTH(SepDom1+22)=9),SepDom1+22,""))</f>
        <v>45551</v>
      </c>
      <c r="D44" s="46">
        <f>IF(DAY(SepDom1)=1,IF(AND(YEAR(SepDom1+16)=AñoCalendario,MONTH(SepDom1+16)=9),SepDom1+16,""),IF(AND(YEAR(SepDom1+23)=AñoCalendario,MONTH(SepDom1+23)=9),SepDom1+23,""))</f>
        <v>45552</v>
      </c>
      <c r="E44" s="46">
        <f>IF(DAY(SepDom1)=1,IF(AND(YEAR(SepDom1+17)=AñoCalendario,MONTH(SepDom1+17)=9),SepDom1+17,""),IF(AND(YEAR(SepDom1+24)=AñoCalendario,MONTH(SepDom1+24)=9),SepDom1+24,""))</f>
        <v>45553</v>
      </c>
      <c r="F44" s="46">
        <f>IF(DAY(SepDom1)=1,IF(AND(YEAR(SepDom1+18)=AñoCalendario,MONTH(SepDom1+18)=9),SepDom1+18,""),IF(AND(YEAR(SepDom1+25)=AñoCalendario,MONTH(SepDom1+25)=9),SepDom1+25,""))</f>
        <v>45554</v>
      </c>
      <c r="G44" s="49">
        <f>IF(DAY(SepDom1)=1,IF(AND(YEAR(SepDom1+19)=AñoCalendario,MONTH(SepDom1+19)=9),SepDom1+19,""),IF(AND(YEAR(SepDom1+26)=AñoCalendario,MONTH(SepDom1+26)=9),SepDom1+26,""))</f>
        <v>45555</v>
      </c>
      <c r="H44" s="46">
        <f>IF(DAY(SepDom1)=1,IF(AND(YEAR(SepDom1+20)=AñoCalendario,MONTH(SepDom1+20)=9),SepDom1+20,""),IF(AND(YEAR(SepDom1+27)=AñoCalendario,MONTH(SepDom1+27)=9),SepDom1+27,""))</f>
        <v>45556</v>
      </c>
      <c r="I44" s="15">
        <f>IF(DAY(SepDom1)=1,IF(AND(YEAR(SepDom1+21)=AñoCalendario,MONTH(SepDom1+21)=9),SepDom1+21,""),IF(AND(YEAR(SepDom1+28)=AñoCalendario,MONTH(SepDom1+28)=9),SepDom1+28,""))</f>
        <v>45557</v>
      </c>
      <c r="J44" s="40"/>
      <c r="K44" s="14">
        <f>IF(DAY(OctSun1)=1,IF(AND(YEAR(OctSun1+15)=AñoCalendario,MONTH(OctSun1+15)=10),OctSun1+15,""),IF(AND(YEAR(OctSun1+22)=AñoCalendario,MONTH(OctSun1+22)=10),OctSun1+22,""))</f>
        <v>45586</v>
      </c>
      <c r="L44" s="46">
        <f>IF(DAY(OctSun1)=1,IF(AND(YEAR(OctSun1+16)=AñoCalendario,MONTH(OctSun1+16)=10),OctSun1+16,""),IF(AND(YEAR(OctSun1+23)=AñoCalendario,MONTH(OctSun1+23)=10),OctSun1+23,""))</f>
        <v>45587</v>
      </c>
      <c r="M44" s="46">
        <f>IF(DAY(OctSun1)=1,IF(AND(YEAR(OctSun1+17)=AñoCalendario,MONTH(OctSun1+17)=10),OctSun1+17,""),IF(AND(YEAR(OctSun1+24)=AñoCalendario,MONTH(OctSun1+24)=10),OctSun1+24,""))</f>
        <v>45588</v>
      </c>
      <c r="N44" s="46">
        <f>IF(DAY(OctSun1)=1,IF(AND(YEAR(OctSun1+18)=AñoCalendario,MONTH(OctSun1+18)=10),OctSun1+18,""),IF(AND(YEAR(OctSun1+25)=AñoCalendario,MONTH(OctSun1+25)=10),OctSun1+25,""))</f>
        <v>45589</v>
      </c>
      <c r="O44" s="46">
        <f>IF(DAY(OctSun1)=1,IF(AND(YEAR(OctSun1+19)=AñoCalendario,MONTH(OctSun1+19)=10),OctSun1+19,""),IF(AND(YEAR(OctSun1+26)=AñoCalendario,MONTH(OctSun1+26)=10),OctSun1+26,""))</f>
        <v>45590</v>
      </c>
      <c r="P44" s="46">
        <f>IF(DAY(OctSun1)=1,IF(AND(YEAR(OctSun1+20)=AñoCalendario,MONTH(OctSun1+20)=10),OctSun1+20,""),IF(AND(YEAR(OctSun1+27)=AñoCalendario,MONTH(OctSun1+27)=10),OctSun1+27,""))</f>
        <v>45591</v>
      </c>
      <c r="Q44" s="15">
        <f>IF(DAY(OctSun1)=1,IF(AND(YEAR(OctSun1+21)=AñoCalendario,MONTH(OctSun1+21)=10),OctSun1+21,""),IF(AND(YEAR(OctSun1+28)=AñoCalendario,MONTH(OctSun1+28)=10),OctSun1+28,""))</f>
        <v>45592</v>
      </c>
      <c r="S44" s="39"/>
      <c r="W44" s="17"/>
    </row>
    <row r="45" spans="1:23" ht="15" customHeight="1" x14ac:dyDescent="0.25">
      <c r="A45" s="6" t="s">
        <v>102</v>
      </c>
      <c r="B45" s="10"/>
      <c r="C45" s="16">
        <f>IF(DAY(SepDom1)=1,IF(AND(YEAR(SepDom1+22)=AñoCalendario,MONTH(SepDom1+22)=9),SepDom1+22,""),IF(AND(YEAR(SepDom1+29)=AñoCalendario,MONTH(SepDom1+29)=9),SepDom1+29,""))</f>
        <v>45558</v>
      </c>
      <c r="D45" s="46">
        <f>IF(DAY(SepDom1)=1,IF(AND(YEAR(SepDom1+23)=AñoCalendario,MONTH(SepDom1+23)=9),SepDom1+23,""),IF(AND(YEAR(SepDom1+30)=AñoCalendario,MONTH(SepDom1+30)=9),SepDom1+30,""))</f>
        <v>45559</v>
      </c>
      <c r="E45" s="46">
        <f>IF(DAY(SepDom1)=1,IF(AND(YEAR(SepDom1+24)=AñoCalendario,MONTH(SepDom1+24)=9),SepDom1+24,""),IF(AND(YEAR(SepDom1+31)=AñoCalendario,MONTH(SepDom1+31)=9),SepDom1+31,""))</f>
        <v>45560</v>
      </c>
      <c r="F45" s="46">
        <f>IF(DAY(SepDom1)=1,IF(AND(YEAR(SepDom1+25)=AñoCalendario,MONTH(SepDom1+25)=9),SepDom1+25,""),IF(AND(YEAR(SepDom1+32)=AñoCalendario,MONTH(SepDom1+32)=9),SepDom1+32,""))</f>
        <v>45561</v>
      </c>
      <c r="G45" s="46">
        <f>IF(DAY(SepDom1)=1,IF(AND(YEAR(SepDom1+26)=AñoCalendario,MONTH(SepDom1+26)=9),SepDom1+26,""),IF(AND(YEAR(SepDom1+33)=AñoCalendario,MONTH(SepDom1+33)=9),SepDom1+33,""))</f>
        <v>45562</v>
      </c>
      <c r="H45" s="46">
        <f>IF(DAY(SepDom1)=1,IF(AND(YEAR(SepDom1+27)=AñoCalendario,MONTH(SepDom1+27)=9),SepDom1+27,""),IF(AND(YEAR(SepDom1+34)=AñoCalendario,MONTH(SepDom1+34)=9),SepDom1+34,""))</f>
        <v>45563</v>
      </c>
      <c r="I45" s="15">
        <f>IF(DAY(SepDom1)=1,IF(AND(YEAR(SepDom1+28)=AñoCalendario,MONTH(SepDom1+28)=9),SepDom1+28,""),IF(AND(YEAR(SepDom1+35)=AñoCalendario,MONTH(SepDom1+35)=9),SepDom1+35,""))</f>
        <v>45564</v>
      </c>
      <c r="J45" s="40"/>
      <c r="K45" s="16">
        <f>IF(DAY(OctSun1)=1,IF(AND(YEAR(OctSun1+22)=AñoCalendario,MONTH(OctSun1+22)=10),OctSun1+22,""),IF(AND(YEAR(OctSun1+29)=AñoCalendario,MONTH(OctSun1+29)=10),OctSun1+29,""))</f>
        <v>45593</v>
      </c>
      <c r="L45" s="46">
        <f>IF(DAY(OctSun1)=1,IF(AND(YEAR(OctSun1+23)=AñoCalendario,MONTH(OctSun1+23)=10),OctSun1+23,""),IF(AND(YEAR(OctSun1+30)=AñoCalendario,MONTH(OctSun1+30)=10),OctSun1+30,""))</f>
        <v>45594</v>
      </c>
      <c r="M45" s="46">
        <f>IF(DAY(OctSun1)=1,IF(AND(YEAR(OctSun1+24)=AñoCalendario,MONTH(OctSun1+24)=10),OctSun1+24,""),IF(AND(YEAR(OctSun1+31)=AñoCalendario,MONTH(OctSun1+31)=10),OctSun1+31,""))</f>
        <v>45595</v>
      </c>
      <c r="N45" s="46">
        <f>IF(DAY(OctSun1)=1,IF(AND(YEAR(OctSun1+25)=AñoCalendario,MONTH(OctSun1+25)=10),OctSun1+25,""),IF(AND(YEAR(OctSun1+32)=AñoCalendario,MONTH(OctSun1+32)=10),OctSun1+32,""))</f>
        <v>45596</v>
      </c>
      <c r="O45" s="46" t="str">
        <f>IF(DAY(OctSun1)=1,IF(AND(YEAR(OctSun1+26)=AñoCalendario,MONTH(OctSun1+26)=10),OctSun1+26,""),IF(AND(YEAR(OctSun1+33)=AñoCalendario,MONTH(OctSun1+33)=10),OctSun1+33,""))</f>
        <v/>
      </c>
      <c r="P45" s="46" t="str">
        <f>IF(DAY(OctSun1)=1,IF(AND(YEAR(OctSun1+27)=AñoCalendario,MONTH(OctSun1+27)=10),OctSun1+27,""),IF(AND(YEAR(OctSun1+34)=AñoCalendario,MONTH(OctSun1+34)=10),OctSun1+34,""))</f>
        <v/>
      </c>
      <c r="Q45" s="15" t="str">
        <f>IF(DAY(OctSun1)=1,IF(AND(YEAR(OctSun1+28)=AñoCalendario,MONTH(OctSun1+28)=10),OctSun1+28,""),IF(AND(YEAR(OctSun1+35)=AñoCalendario,MONTH(OctSun1+35)=10),OctSun1+35,""))</f>
        <v/>
      </c>
      <c r="S45" s="39"/>
      <c r="W45" s="17"/>
    </row>
    <row r="46" spans="1:23" ht="15" customHeight="1" thickBot="1" x14ac:dyDescent="0.3">
      <c r="A46" s="6"/>
      <c r="B46" s="10"/>
      <c r="C46" s="18">
        <f>IF(DAY(SepDom1)=1,IF(AND(YEAR(SepDom1+29)=AñoCalendario,MONTH(SepDom1+29)=9),SepDom1+29,""),IF(AND(YEAR(SepDom1+36)=AñoCalendario,MONTH(SepDom1+36)=9),SepDom1+36,""))</f>
        <v>45565</v>
      </c>
      <c r="D46" s="19" t="str">
        <f>IF(DAY(SepDom1)=1,IF(AND(YEAR(SepDom1+30)=AñoCalendario,MONTH(SepDom1+30)=9),SepDom1+30,""),IF(AND(YEAR(SepDom1+37)=AñoCalendario,MONTH(SepDom1+37)=9),SepDom1+37,""))</f>
        <v/>
      </c>
      <c r="E46" s="19" t="str">
        <f>IF(DAY(SepDom1)=1,IF(AND(YEAR(SepDom1+31)=AñoCalendario,MONTH(SepDom1+31)=9),SepDom1+31,""),IF(AND(YEAR(SepDom1+38)=AñoCalendario,MONTH(SepDom1+38)=9),SepDom1+38,""))</f>
        <v/>
      </c>
      <c r="F46" s="19" t="str">
        <f>IF(DAY(SepDom1)=1,IF(AND(YEAR(SepDom1+32)=AñoCalendario,MONTH(SepDom1+32)=9),SepDom1+32,""),IF(AND(YEAR(SepDom1+39)=AñoCalendario,MONTH(SepDom1+39)=9),SepDom1+39,""))</f>
        <v/>
      </c>
      <c r="G46" s="19" t="str">
        <f>IF(DAY(SepDom1)=1,IF(AND(YEAR(SepDom1+33)=AñoCalendario,MONTH(SepDom1+33)=9),SepDom1+33,""),IF(AND(YEAR(SepDom1+40)=AñoCalendario,MONTH(SepDom1+40)=9),SepDom1+40,""))</f>
        <v/>
      </c>
      <c r="H46" s="19" t="str">
        <f>IF(DAY(SepDom1)=1,IF(AND(YEAR(SepDom1+34)=AñoCalendario,MONTH(SepDom1+34)=9),SepDom1+34,""),IF(AND(YEAR(SepDom1+41)=AñoCalendario,MONTH(SepDom1+41)=9),SepDom1+41,""))</f>
        <v/>
      </c>
      <c r="I46" s="20" t="str">
        <f>IF(DAY(SepDom1)=1,IF(AND(YEAR(SepDom1+35)=AñoCalendario,MONTH(SepDom1+35)=9),SepDom1+35,""),IF(AND(YEAR(SepDom1+42)=AñoCalendario,MONTH(SepDom1+42)=9),SepDom1+42,""))</f>
        <v/>
      </c>
      <c r="J46" s="40"/>
      <c r="K46" s="18" t="str">
        <f>IF(DAY(OctSun1)=1,IF(AND(YEAR(OctSun1+29)=AñoCalendario,MONTH(OctSun1+29)=10),OctSun1+29,""),IF(AND(YEAR(OctSun1+36)=AñoCalendario,MONTH(OctSun1+36)=10),OctSun1+36,""))</f>
        <v/>
      </c>
      <c r="L46" s="19" t="str">
        <f>IF(DAY(OctSun1)=1,IF(AND(YEAR(OctSun1+30)=AñoCalendario,MONTH(OctSun1+30)=10),OctSun1+30,""),IF(AND(YEAR(OctSun1+37)=AñoCalendario,MONTH(OctSun1+37)=10),OctSun1+37,""))</f>
        <v/>
      </c>
      <c r="M46" s="19" t="str">
        <f>IF(DAY(OctSun1)=1,IF(AND(YEAR(OctSun1+31)=AñoCalendario,MONTH(OctSun1+31)=10),OctSun1+31,""),IF(AND(YEAR(OctSun1+38)=AñoCalendario,MONTH(OctSun1+38)=10),OctSun1+38,""))</f>
        <v/>
      </c>
      <c r="N46" s="19" t="str">
        <f>IF(DAY(OctSun1)=1,IF(AND(YEAR(OctSun1+32)=AñoCalendario,MONTH(OctSun1+32)=10),OctSun1+32,""),IF(AND(YEAR(OctSun1+39)=AñoCalendario,MONTH(OctSun1+39)=10),OctSun1+39,""))</f>
        <v/>
      </c>
      <c r="O46" s="19" t="str">
        <f>IF(DAY(OctSun1)=1,IF(AND(YEAR(OctSun1+33)=AñoCalendario,MONTH(OctSun1+33)=10),OctSun1+33,""),IF(AND(YEAR(OctSun1+40)=AñoCalendario,MONTH(OctSun1+40)=10),OctSun1+40,""))</f>
        <v/>
      </c>
      <c r="P46" s="19" t="str">
        <f>IF(DAY(OctSun1)=1,IF(AND(YEAR(OctSun1+34)=AñoCalendario,MONTH(OctSun1+34)=10),OctSun1+34,""),IF(AND(YEAR(OctSun1+41)=AñoCalendario,MONTH(OctSun1+41)=10),OctSun1+41,""))</f>
        <v/>
      </c>
      <c r="Q46" s="20" t="str">
        <f>IF(DAY(OctSun1)=1,IF(AND(YEAR(OctSun1+35)=AñoCalendario,MONTH(OctSun1+35)=10),OctSun1+35,""),IF(AND(YEAR(OctSun1+42)=AñoCalendario,MONTH(OctSun1+42)=10),OctSun1+42,""))</f>
        <v/>
      </c>
      <c r="S46" s="39"/>
      <c r="V46" s="59"/>
      <c r="W46" s="29"/>
    </row>
    <row r="47" spans="1:23" ht="15" customHeight="1" thickBot="1" x14ac:dyDescent="0.3">
      <c r="A47" s="6" t="s">
        <v>103</v>
      </c>
      <c r="B47" s="10"/>
      <c r="C47" s="40"/>
      <c r="D47" s="40"/>
      <c r="E47" s="40"/>
      <c r="F47" s="40"/>
      <c r="G47" s="40"/>
      <c r="H47" s="40"/>
      <c r="I47" s="40"/>
      <c r="J47" s="40"/>
      <c r="K47" s="40"/>
      <c r="L47" s="40"/>
      <c r="M47" s="40"/>
      <c r="N47" s="40"/>
      <c r="O47" s="40"/>
      <c r="P47" s="40"/>
      <c r="Q47" s="40"/>
      <c r="S47" s="39"/>
      <c r="V47" s="59"/>
      <c r="W47" s="29"/>
    </row>
    <row r="48" spans="1:23" ht="15" customHeight="1" x14ac:dyDescent="0.25">
      <c r="A48" s="6" t="s">
        <v>104</v>
      </c>
      <c r="B48" s="10"/>
      <c r="C48" s="91" t="s">
        <v>105</v>
      </c>
      <c r="D48" s="92"/>
      <c r="E48" s="92"/>
      <c r="F48" s="92"/>
      <c r="G48" s="92"/>
      <c r="H48" s="92"/>
      <c r="I48" s="93"/>
      <c r="J48" s="40"/>
      <c r="K48" s="91" t="s">
        <v>106</v>
      </c>
      <c r="L48" s="92"/>
      <c r="M48" s="92"/>
      <c r="N48" s="92"/>
      <c r="O48" s="92"/>
      <c r="P48" s="92"/>
      <c r="Q48" s="93"/>
      <c r="S48" s="39"/>
      <c r="V48" s="59"/>
      <c r="W48" s="29"/>
    </row>
    <row r="49" spans="1:23" ht="15" customHeight="1" x14ac:dyDescent="0.25">
      <c r="A49" s="6" t="s">
        <v>107</v>
      </c>
      <c r="B49" s="10"/>
      <c r="C49" s="12" t="s">
        <v>55</v>
      </c>
      <c r="D49" s="43" t="s">
        <v>56</v>
      </c>
      <c r="E49" s="43" t="s">
        <v>70</v>
      </c>
      <c r="F49" s="43" t="s">
        <v>58</v>
      </c>
      <c r="G49" s="43" t="s">
        <v>59</v>
      </c>
      <c r="H49" s="43" t="s">
        <v>60</v>
      </c>
      <c r="I49" s="13" t="s">
        <v>61</v>
      </c>
      <c r="J49" s="40"/>
      <c r="K49" s="12" t="s">
        <v>55</v>
      </c>
      <c r="L49" s="43" t="s">
        <v>56</v>
      </c>
      <c r="M49" s="43" t="s">
        <v>70</v>
      </c>
      <c r="N49" s="43" t="s">
        <v>58</v>
      </c>
      <c r="O49" s="43" t="s">
        <v>59</v>
      </c>
      <c r="P49" s="43" t="s">
        <v>60</v>
      </c>
      <c r="Q49" s="13" t="s">
        <v>61</v>
      </c>
      <c r="S49" s="39"/>
      <c r="V49" s="59"/>
      <c r="W49" s="29"/>
    </row>
    <row r="50" spans="1:23" ht="15" customHeight="1" x14ac:dyDescent="0.25">
      <c r="A50" s="6"/>
      <c r="B50" s="10"/>
      <c r="C50" s="14" t="str">
        <f>IF(DAY(NovSun1)=1,"",IF(AND(YEAR(NovSun1+1)=AñoCalendario,MONTH(NovSun1+1)=11),NovSun1+1,""))</f>
        <v/>
      </c>
      <c r="D50" s="46" t="str">
        <f>IF(DAY(NovSun1)=1,"",IF(AND(YEAR(NovSun1+2)=AñoCalendario,MONTH(NovSun1+2)=11),NovSun1+2,""))</f>
        <v/>
      </c>
      <c r="E50" s="46" t="str">
        <f>IF(DAY(NovSun1)=1,"",IF(AND(YEAR(NovSun1+3)=AñoCalendario,MONTH(NovSun1+3)=11),NovSun1+3,""))</f>
        <v/>
      </c>
      <c r="F50" s="46" t="str">
        <f>IF(DAY(NovSun1)=1,"",IF(AND(YEAR(NovSun1+4)=AñoCalendario,MONTH(NovSun1+4)=11),NovSun1+4,""))</f>
        <v/>
      </c>
      <c r="G50" s="47">
        <f>IF(DAY(NovSun1)=1,"",IF(AND(YEAR(NovSun1+5)=AñoCalendario,MONTH(NovSun1+5)=11),NovSun1+5,""))</f>
        <v>45597</v>
      </c>
      <c r="H50" s="46">
        <f>IF(DAY(NovSun1)=1,"",IF(AND(YEAR(NovSun1+6)=AñoCalendario,MONTH(NovSun1+6)=11),NovSun1+6,""))</f>
        <v>45598</v>
      </c>
      <c r="I50" s="15">
        <f>IF(DAY(NovSun1)=1,IF(AND(YEAR(NovSun1)=AñoCalendario,MONTH(NovSun1)=11),NovSun1,""),IF(AND(YEAR(NovSun1+7)=AñoCalendario,MONTH(NovSun1+7)=11),NovSun1+7,""))</f>
        <v>45599</v>
      </c>
      <c r="J50" s="40"/>
      <c r="K50" s="14" t="str">
        <f>IF(DAY(DecSun1)=1,"",IF(AND(YEAR(DecSun1+1)=AñoCalendario,MONTH(DecSun1+1)=12),DecSun1+1,""))</f>
        <v/>
      </c>
      <c r="L50" s="46" t="str">
        <f>IF(DAY(DecSun1)=1,"",IF(AND(YEAR(DecSun1+2)=AñoCalendario,MONTH(DecSun1+2)=12),DecSun1+2,""))</f>
        <v/>
      </c>
      <c r="M50" s="46" t="str">
        <f>IF(DAY(DecSun1)=1,"",IF(AND(YEAR(DecSun1+3)=AñoCalendario,MONTH(DecSun1+3)=12),DecSun1+3,""))</f>
        <v/>
      </c>
      <c r="N50" s="46" t="str">
        <f>IF(DAY(DecSun1)=1,"",IF(AND(YEAR(DecSun1+4)=AñoCalendario,MONTH(DecSun1+4)=12),DecSun1+4,""))</f>
        <v/>
      </c>
      <c r="O50" s="46" t="str">
        <f>IF(DAY(DecSun1)=1,"",IF(AND(YEAR(DecSun1+5)=AñoCalendario,MONTH(DecSun1+5)=12),DecSun1+5,""))</f>
        <v/>
      </c>
      <c r="P50" s="46" t="str">
        <f>IF(DAY(DecSun1)=1,"",IF(AND(YEAR(DecSun1+6)=AñoCalendario,MONTH(DecSun1+6)=12),DecSun1+6,""))</f>
        <v/>
      </c>
      <c r="Q50" s="15">
        <f>IF(DAY(DecSun1)=1,IF(AND(YEAR(DecSun1)=AñoCalendario,MONTH(DecSun1)=12),DecSun1,""),IF(AND(YEAR(DecSun1+7)=AñoCalendario,MONTH(DecSun1+7)=12),DecSun1+7,""))</f>
        <v>45627</v>
      </c>
      <c r="S50" s="39"/>
      <c r="V50" s="59"/>
      <c r="W50" s="29"/>
    </row>
    <row r="51" spans="1:23" ht="15" customHeight="1" x14ac:dyDescent="0.25">
      <c r="A51" s="6" t="s">
        <v>108</v>
      </c>
      <c r="B51" s="10"/>
      <c r="C51" s="16">
        <f>IF(DAY(NovSun1)=1,IF(AND(YEAR(NovSun1+1)=AñoCalendario,MONTH(NovSun1+1)=11),NovSun1+1,""),IF(AND(YEAR(NovSun1+8)=AñoCalendario,MONTH(NovSun1+8)=11),NovSun1+8,""))</f>
        <v>45600</v>
      </c>
      <c r="D51" s="46">
        <f>IF(DAY(NovSun1)=1,IF(AND(YEAR(NovSun1+2)=AñoCalendario,MONTH(NovSun1+2)=11),NovSun1+2,""),IF(AND(YEAR(NovSun1+9)=AñoCalendario,MONTH(NovSun1+9)=11),NovSun1+9,""))</f>
        <v>45601</v>
      </c>
      <c r="E51" s="46">
        <f>IF(DAY(NovSun1)=1,IF(AND(YEAR(NovSun1+3)=AñoCalendario,MONTH(NovSun1+3)=11),NovSun1+3,""),IF(AND(YEAR(NovSun1+10)=AñoCalendario,MONTH(NovSun1+10)=11),NovSun1+10,""))</f>
        <v>45602</v>
      </c>
      <c r="F51" s="46">
        <f>IF(DAY(NovSun1)=1,IF(AND(YEAR(NovSun1+4)=AñoCalendario,MONTH(NovSun1+4)=11),NovSun1+4,""),IF(AND(YEAR(NovSun1+11)=AñoCalendario,MONTH(NovSun1+11)=11),NovSun1+11,""))</f>
        <v>45603</v>
      </c>
      <c r="G51" s="46">
        <f>IF(DAY(NovSun1)=1,IF(AND(YEAR(NovSun1+5)=AñoCalendario,MONTH(NovSun1+5)=11),NovSun1+5,""),IF(AND(YEAR(NovSun1+12)=AñoCalendario,MONTH(NovSun1+12)=11),NovSun1+12,""))</f>
        <v>45604</v>
      </c>
      <c r="H51" s="46">
        <f>IF(DAY(NovSun1)=1,IF(AND(YEAR(NovSun1+6)=AñoCalendario,MONTH(NovSun1+6)=11),NovSun1+6,""),IF(AND(YEAR(NovSun1+13)=AñoCalendario,MONTH(NovSun1+13)=11),NovSun1+13,""))</f>
        <v>45605</v>
      </c>
      <c r="I51" s="15">
        <f>IF(DAY(NovSun1)=1,IF(AND(YEAR(NovSun1+7)=AñoCalendario,MONTH(NovSun1+7)=11),NovSun1+7,""),IF(AND(YEAR(NovSun1+14)=AñoCalendario,MONTH(NovSun1+14)=11),NovSun1+14,""))</f>
        <v>45606</v>
      </c>
      <c r="J51" s="40"/>
      <c r="K51" s="14">
        <f>IF(DAY(DecSun1)=1,IF(AND(YEAR(DecSun1+1)=AñoCalendario,MONTH(DecSun1+1)=12),DecSun1+1,""),IF(AND(YEAR(DecSun1+8)=AñoCalendario,MONTH(DecSun1+8)=12),DecSun1+8,""))</f>
        <v>45628</v>
      </c>
      <c r="L51" s="46">
        <f>IF(DAY(DecSun1)=1,IF(AND(YEAR(DecSun1+2)=AñoCalendario,MONTH(DecSun1+2)=12),DecSun1+2,""),IF(AND(YEAR(DecSun1+9)=AñoCalendario,MONTH(DecSun1+9)=12),DecSun1+9,""))</f>
        <v>45629</v>
      </c>
      <c r="M51" s="46">
        <f>IF(DAY(DecSun1)=1,IF(AND(YEAR(DecSun1+3)=AñoCalendario,MONTH(DecSun1+3)=12),DecSun1+3,""),IF(AND(YEAR(DecSun1+10)=AñoCalendario,MONTH(DecSun1+10)=12),DecSun1+10,""))</f>
        <v>45630</v>
      </c>
      <c r="N51" s="46">
        <f>IF(DAY(DecSun1)=1,IF(AND(YEAR(DecSun1+4)=AñoCalendario,MONTH(DecSun1+4)=12),DecSun1+4,""),IF(AND(YEAR(DecSun1+11)=AñoCalendario,MONTH(DecSun1+11)=12),DecSun1+11,""))</f>
        <v>45631</v>
      </c>
      <c r="O51" s="47">
        <f>IF(DAY(DecSun1)=1,IF(AND(YEAR(DecSun1+5)=AñoCalendario,MONTH(DecSun1+5)=12),DecSun1+5,""),IF(AND(YEAR(DecSun1+12)=AñoCalendario,MONTH(DecSun1+12)=12),DecSun1+12,""))</f>
        <v>45632</v>
      </c>
      <c r="P51" s="46">
        <f>IF(DAY(DecSun1)=1,IF(AND(YEAR(DecSun1+6)=AñoCalendario,MONTH(DecSun1+6)=12),DecSun1+6,""),IF(AND(YEAR(DecSun1+13)=AñoCalendario,MONTH(DecSun1+13)=12),DecSun1+13,""))</f>
        <v>45633</v>
      </c>
      <c r="Q51" s="15">
        <f>IF(DAY(DecSun1)=1,IF(AND(YEAR(DecSun1+7)=AñoCalendario,MONTH(DecSun1+7)=12),DecSun1+7,""),IF(AND(YEAR(DecSun1+14)=AñoCalendario,MONTH(DecSun1+14)=12),DecSun1+14,""))</f>
        <v>45634</v>
      </c>
      <c r="S51" s="39"/>
      <c r="V51" s="59"/>
      <c r="W51" s="17"/>
    </row>
    <row r="52" spans="1:23" ht="15" customHeight="1" x14ac:dyDescent="0.25">
      <c r="B52" s="10"/>
      <c r="C52" s="14">
        <f>IF(DAY(NovSun1)=1,IF(AND(YEAR(NovSun1+8)=AñoCalendario,MONTH(NovSun1+8)=11),NovSun1+8,""),IF(AND(YEAR(NovSun1+15)=AñoCalendario,MONTH(NovSun1+15)=11),NovSun1+15,""))</f>
        <v>45607</v>
      </c>
      <c r="D52" s="46">
        <f>IF(DAY(NovSun1)=1,IF(AND(YEAR(NovSun1+9)=AñoCalendario,MONTH(NovSun1+9)=11),NovSun1+9,""),IF(AND(YEAR(NovSun1+16)=AñoCalendario,MONTH(NovSun1+16)=11),NovSun1+16,""))</f>
        <v>45608</v>
      </c>
      <c r="E52" s="46">
        <f>IF(DAY(NovSun1)=1,IF(AND(YEAR(NovSun1+10)=AñoCalendario,MONTH(NovSun1+10)=11),NovSun1+10,""),IF(AND(YEAR(NovSun1+17)=AñoCalendario,MONTH(NovSun1+17)=11),NovSun1+17,""))</f>
        <v>45609</v>
      </c>
      <c r="F52" s="46">
        <f>IF(DAY(NovSun1)=1,IF(AND(YEAR(NovSun1+11)=AñoCalendario,MONTH(NovSun1+11)=11),NovSun1+11,""),IF(AND(YEAR(NovSun1+18)=AñoCalendario,MONTH(NovSun1+18)=11),NovSun1+18,""))</f>
        <v>45610</v>
      </c>
      <c r="G52" s="49">
        <f>IF(DAY(NovSun1)=1,IF(AND(YEAR(NovSun1+12)=AñoCalendario,MONTH(NovSun1+12)=11),NovSun1+12,""),IF(AND(YEAR(NovSun1+19)=AñoCalendario,MONTH(NovSun1+19)=11),NovSun1+19,""))</f>
        <v>45611</v>
      </c>
      <c r="H52" s="46">
        <f>IF(DAY(NovSun1)=1,IF(AND(YEAR(NovSun1+13)=AñoCalendario,MONTH(NovSun1+13)=11),NovSun1+13,""),IF(AND(YEAR(NovSun1+20)=AñoCalendario,MONTH(NovSun1+20)=11),NovSun1+20,""))</f>
        <v>45612</v>
      </c>
      <c r="I52" s="15">
        <f>IF(DAY(NovSun1)=1,IF(AND(YEAR(NovSun1+14)=AñoCalendario,MONTH(NovSun1+14)=11),NovSun1+14,""),IF(AND(YEAR(NovSun1+21)=AñoCalendario,MONTH(NovSun1+21)=11),NovSun1+21,""))</f>
        <v>45613</v>
      </c>
      <c r="J52" s="40"/>
      <c r="K52" s="16">
        <f>IF(DAY(DecSun1)=1,IF(AND(YEAR(DecSun1+8)=AñoCalendario,MONTH(DecSun1+8)=12),DecSun1+8,""),IF(AND(YEAR(DecSun1+15)=AñoCalendario,MONTH(DecSun1+15)=12),DecSun1+15,""))</f>
        <v>45635</v>
      </c>
      <c r="L52" s="46">
        <f>IF(DAY(DecSun1)=1,IF(AND(YEAR(DecSun1+9)=AñoCalendario,MONTH(DecSun1+9)=12),DecSun1+9,""),IF(AND(YEAR(DecSun1+16)=AñoCalendario,MONTH(DecSun1+16)=12),DecSun1+16,""))</f>
        <v>45636</v>
      </c>
      <c r="M52" s="46">
        <f>IF(DAY(DecSun1)=1,IF(AND(YEAR(DecSun1+10)=AñoCalendario,MONTH(DecSun1+10)=12),DecSun1+10,""),IF(AND(YEAR(DecSun1+17)=AñoCalendario,MONTH(DecSun1+17)=12),DecSun1+17,""))</f>
        <v>45637</v>
      </c>
      <c r="N52" s="46">
        <f>IF(DAY(DecSun1)=1,IF(AND(YEAR(DecSun1+11)=AñoCalendario,MONTH(DecSun1+11)=12),DecSun1+11,""),IF(AND(YEAR(DecSun1+18)=AñoCalendario,MONTH(DecSun1+18)=12),DecSun1+18,""))</f>
        <v>45638</v>
      </c>
      <c r="O52" s="46">
        <f>IF(DAY(DecSun1)=1,IF(AND(YEAR(DecSun1+12)=AñoCalendario,MONTH(DecSun1+12)=12),DecSun1+12,""),IF(AND(YEAR(DecSun1+19)=AñoCalendario,MONTH(DecSun1+19)=12),DecSun1+19,""))</f>
        <v>45639</v>
      </c>
      <c r="P52" s="46">
        <f>IF(DAY(DecSun1)=1,IF(AND(YEAR(DecSun1+13)=AñoCalendario,MONTH(DecSun1+13)=12),DecSun1+13,""),IF(AND(YEAR(DecSun1+20)=AñoCalendario,MONTH(DecSun1+20)=12),DecSun1+20,""))</f>
        <v>45640</v>
      </c>
      <c r="Q52" s="15">
        <f>IF(DAY(DecSun1)=1,IF(AND(YEAR(DecSun1+14)=AñoCalendario,MONTH(DecSun1+14)=12),DecSun1+14,""),IF(AND(YEAR(DecSun1+21)=AñoCalendario,MONTH(DecSun1+21)=12),DecSun1+21,""))</f>
        <v>45641</v>
      </c>
      <c r="S52" s="39"/>
      <c r="V52" s="60"/>
      <c r="W52" s="17"/>
    </row>
    <row r="53" spans="1:23" ht="15" customHeight="1" x14ac:dyDescent="0.25">
      <c r="B53" s="10"/>
      <c r="C53" s="16">
        <f>IF(DAY(NovSun1)=1,IF(AND(YEAR(NovSun1+15)=AñoCalendario,MONTH(NovSun1+15)=11),NovSun1+15,""),IF(AND(YEAR(NovSun1+22)=AñoCalendario,MONTH(NovSun1+22)=11),NovSun1+22,""))</f>
        <v>45614</v>
      </c>
      <c r="D53" s="46">
        <f>IF(DAY(NovSun1)=1,IF(AND(YEAR(NovSun1+16)=AñoCalendario,MONTH(NovSun1+16)=11),NovSun1+16,""),IF(AND(YEAR(NovSun1+23)=AñoCalendario,MONTH(NovSun1+23)=11),NovSun1+23,""))</f>
        <v>45615</v>
      </c>
      <c r="E53" s="46">
        <f>IF(DAY(NovSun1)=1,IF(AND(YEAR(NovSun1+17)=AñoCalendario,MONTH(NovSun1+17)=11),NovSun1+17,""),IF(AND(YEAR(NovSun1+24)=AñoCalendario,MONTH(NovSun1+24)=11),NovSun1+24,""))</f>
        <v>45616</v>
      </c>
      <c r="F53" s="46">
        <f>IF(DAY(NovSun1)=1,IF(AND(YEAR(NovSun1+18)=AñoCalendario,MONTH(NovSun1+18)=11),NovSun1+18,""),IF(AND(YEAR(NovSun1+25)=AñoCalendario,MONTH(NovSun1+25)=11),NovSun1+25,""))</f>
        <v>45617</v>
      </c>
      <c r="G53" s="46">
        <f>IF(DAY(NovSun1)=1,IF(AND(YEAR(NovSun1+19)=AñoCalendario,MONTH(NovSun1+19)=11),NovSun1+19,""),IF(AND(YEAR(NovSun1+26)=AñoCalendario,MONTH(NovSun1+26)=11),NovSun1+26,""))</f>
        <v>45618</v>
      </c>
      <c r="H53" s="46">
        <f>IF(DAY(NovSun1)=1,IF(AND(YEAR(NovSun1+20)=AñoCalendario,MONTH(NovSun1+20)=11),NovSun1+20,""),IF(AND(YEAR(NovSun1+27)=AñoCalendario,MONTH(NovSun1+27)=11),NovSun1+27,""))</f>
        <v>45619</v>
      </c>
      <c r="I53" s="15">
        <f>IF(DAY(NovSun1)=1,IF(AND(YEAR(NovSun1+21)=AñoCalendario,MONTH(NovSun1+21)=11),NovSun1+21,""),IF(AND(YEAR(NovSun1+28)=AñoCalendario,MONTH(NovSun1+28)=11),NovSun1+28,""))</f>
        <v>45620</v>
      </c>
      <c r="J53" s="40"/>
      <c r="K53" s="14">
        <f>IF(DAY(DecSun1)=1,IF(AND(YEAR(DecSun1+15)=AñoCalendario,MONTH(DecSun1+15)=12),DecSun1+15,""),IF(AND(YEAR(DecSun1+22)=AñoCalendario,MONTH(DecSun1+22)=12),DecSun1+22,""))</f>
        <v>45642</v>
      </c>
      <c r="L53" s="46">
        <f>IF(DAY(DecSun1)=1,IF(AND(YEAR(DecSun1+16)=AñoCalendario,MONTH(DecSun1+16)=12),DecSun1+16,""),IF(AND(YEAR(DecSun1+23)=AñoCalendario,MONTH(DecSun1+23)=12),DecSun1+23,""))</f>
        <v>45643</v>
      </c>
      <c r="M53" s="46">
        <f>IF(DAY(DecSun1)=1,IF(AND(YEAR(DecSun1+17)=AñoCalendario,MONTH(DecSun1+17)=12),DecSun1+17,""),IF(AND(YEAR(DecSun1+24)=AñoCalendario,MONTH(DecSun1+24)=12),DecSun1+24,""))</f>
        <v>45644</v>
      </c>
      <c r="N53" s="46">
        <f>IF(DAY(DecSun1)=1,IF(AND(YEAR(DecSun1+18)=AñoCalendario,MONTH(DecSun1+18)=12),DecSun1+18,""),IF(AND(YEAR(DecSun1+25)=AñoCalendario,MONTH(DecSun1+25)=12),DecSun1+25,""))</f>
        <v>45645</v>
      </c>
      <c r="O53" s="49">
        <f>IF(DAY(DecSun1)=1,IF(AND(YEAR(DecSun1+19)=AñoCalendario,MONTH(DecSun1+19)=12),DecSun1+19,""),IF(AND(YEAR(DecSun1+26)=AñoCalendario,MONTH(DecSun1+26)=12),DecSun1+26,""))</f>
        <v>45646</v>
      </c>
      <c r="P53" s="46">
        <f>IF(DAY(DecSun1)=1,IF(AND(YEAR(DecSun1+20)=AñoCalendario,MONTH(DecSun1+20)=12),DecSun1+20,""),IF(AND(YEAR(DecSun1+27)=AñoCalendario,MONTH(DecSun1+27)=12),DecSun1+27,""))</f>
        <v>45647</v>
      </c>
      <c r="Q53" s="15">
        <f>IF(DAY(DecSun1)=1,IF(AND(YEAR(DecSun1+21)=AñoCalendario,MONTH(DecSun1+21)=12),DecSun1+21,""),IF(AND(YEAR(DecSun1+28)=AñoCalendario,MONTH(DecSun1+28)=12),DecSun1+28,""))</f>
        <v>45648</v>
      </c>
      <c r="S53" s="39"/>
      <c r="V53" s="61" t="s">
        <v>109</v>
      </c>
      <c r="W53" s="17"/>
    </row>
    <row r="54" spans="1:23" ht="15" customHeight="1" x14ac:dyDescent="0.25">
      <c r="B54" s="10"/>
      <c r="C54" s="14">
        <f>IF(DAY(NovSun1)=1,IF(AND(YEAR(NovSun1+22)=AñoCalendario,MONTH(NovSun1+22)=11),NovSun1+22,""),IF(AND(YEAR(NovSun1+29)=AñoCalendario,MONTH(NovSun1+29)=11),NovSun1+29,""))</f>
        <v>45621</v>
      </c>
      <c r="D54" s="46">
        <f>IF(DAY(NovSun1)=1,IF(AND(YEAR(NovSun1+23)=AñoCalendario,MONTH(NovSun1+23)=11),NovSun1+23,""),IF(AND(YEAR(NovSun1+30)=AñoCalendario,MONTH(NovSun1+30)=11),NovSun1+30,""))</f>
        <v>45622</v>
      </c>
      <c r="E54" s="46">
        <f>IF(DAY(NovSun1)=1,IF(AND(YEAR(NovSun1+24)=AñoCalendario,MONTH(NovSun1+24)=11),NovSun1+24,""),IF(AND(YEAR(NovSun1+31)=AñoCalendario,MONTH(NovSun1+31)=11),NovSun1+31,""))</f>
        <v>45623</v>
      </c>
      <c r="F54" s="46">
        <f>IF(DAY(NovSun1)=1,IF(AND(YEAR(NovSun1+25)=AñoCalendario,MONTH(NovSun1+25)=11),NovSun1+25,""),IF(AND(YEAR(NovSun1+32)=AñoCalendario,MONTH(NovSun1+32)=11),NovSun1+32,""))</f>
        <v>45624</v>
      </c>
      <c r="G54" s="46">
        <f>IF(DAY(NovSun1)=1,IF(AND(YEAR(NovSun1+26)=AñoCalendario,MONTH(NovSun1+26)=11),NovSun1+26,""),IF(AND(YEAR(NovSun1+33)=AñoCalendario,MONTH(NovSun1+33)=11),NovSun1+33,""))</f>
        <v>45625</v>
      </c>
      <c r="H54" s="46">
        <f>IF(DAY(NovSun1)=1,IF(AND(YEAR(NovSun1+27)=AñoCalendario,MONTH(NovSun1+27)=11),NovSun1+27,""),IF(AND(YEAR(NovSun1+34)=AñoCalendario,MONTH(NovSun1+34)=11),NovSun1+34,""))</f>
        <v>45626</v>
      </c>
      <c r="I54" s="15" t="str">
        <f>IF(DAY(NovSun1)=1,IF(AND(YEAR(NovSun1+28)=AñoCalendario,MONTH(NovSun1+28)=11),NovSun1+28,""),IF(AND(YEAR(NovSun1+35)=AñoCalendario,MONTH(NovSun1+35)=11),NovSun1+35,""))</f>
        <v/>
      </c>
      <c r="J54" s="40"/>
      <c r="K54" s="16">
        <f>IF(DAY(DecSun1)=1,IF(AND(YEAR(DecSun1+22)=AñoCalendario,MONTH(DecSun1+22)=12),DecSun1+22,""),IF(AND(YEAR(DecSun1+29)=AñoCalendario,MONTH(DecSun1+29)=12),DecSun1+29,""))</f>
        <v>45649</v>
      </c>
      <c r="L54" s="46">
        <f>IF(DAY(DecSun1)=1,IF(AND(YEAR(DecSun1+23)=AñoCalendario,MONTH(DecSun1+23)=12),DecSun1+23,""),IF(AND(YEAR(DecSun1+30)=AñoCalendario,MONTH(DecSun1+30)=12),DecSun1+30,""))</f>
        <v>45650</v>
      </c>
      <c r="M54" s="46">
        <f>IF(DAY(DecSun1)=1,IF(AND(YEAR(DecSun1+24)=AñoCalendario,MONTH(DecSun1+24)=12),DecSun1+24,""),IF(AND(YEAR(DecSun1+31)=AñoCalendario,MONTH(DecSun1+31)=12),DecSun1+31,""))</f>
        <v>45651</v>
      </c>
      <c r="N54" s="46">
        <f>IF(DAY(DecSun1)=1,IF(AND(YEAR(DecSun1+25)=AñoCalendario,MONTH(DecSun1+25)=12),DecSun1+25,""),IF(AND(YEAR(DecSun1+32)=AñoCalendario,MONTH(DecSun1+32)=12),DecSun1+32,""))</f>
        <v>45652</v>
      </c>
      <c r="O54" s="46">
        <f>IF(DAY(DecSun1)=1,IF(AND(YEAR(DecSun1+26)=AñoCalendario,MONTH(DecSun1+26)=12),DecSun1+26,""),IF(AND(YEAR(DecSun1+33)=AñoCalendario,MONTH(DecSun1+33)=12),DecSun1+33,""))</f>
        <v>45653</v>
      </c>
      <c r="P54" s="46">
        <f>IF(DAY(DecSun1)=1,IF(AND(YEAR(DecSun1+27)=AñoCalendario,MONTH(DecSun1+27)=12),DecSun1+27,""),IF(AND(YEAR(DecSun1+34)=AñoCalendario,MONTH(DecSun1+34)=12),DecSun1+34,""))</f>
        <v>45654</v>
      </c>
      <c r="Q54" s="15">
        <f>IF(DAY(DecSun1)=1,IF(AND(YEAR(DecSun1+28)=AñoCalendario,MONTH(DecSun1+28)=12),DecSun1+28,""),IF(AND(YEAR(DecSun1+35)=AñoCalendario,MONTH(DecSun1+35)=12),DecSun1+35,""))</f>
        <v>45655</v>
      </c>
      <c r="S54" s="39"/>
      <c r="V54" s="61"/>
      <c r="W54" s="17"/>
    </row>
    <row r="55" spans="1:23" ht="15" customHeight="1" x14ac:dyDescent="0.25">
      <c r="B55" s="30"/>
      <c r="C55" s="31" t="str">
        <f>IF(DAY(NovSun1)=1,IF(AND(YEAR(NovSun1+29)=AñoCalendario,MONTH(NovSun1+29)=11),NovSun1+29,""),IF(AND(YEAR(NovSun1+36)=AñoCalendario,MONTH(NovSun1+36)=11),NovSun1+36,""))</f>
        <v/>
      </c>
      <c r="D55" s="32" t="str">
        <f>IF(DAY(NovSun1)=1,IF(AND(YEAR(NovSun1+30)=AñoCalendario,MONTH(NovSun1+30)=11),NovSun1+30,""),IF(AND(YEAR(NovSun1+37)=AñoCalendario,MONTH(NovSun1+37)=11),NovSun1+37,""))</f>
        <v/>
      </c>
      <c r="E55" s="32" t="str">
        <f>IF(DAY(NovSun1)=1,IF(AND(YEAR(NovSun1+31)=AñoCalendario,MONTH(NovSun1+31)=11),NovSun1+31,""),IF(AND(YEAR(NovSun1+38)=AñoCalendario,MONTH(NovSun1+38)=11),NovSun1+38,""))</f>
        <v/>
      </c>
      <c r="F55" s="32" t="str">
        <f>IF(DAY(NovSun1)=1,IF(AND(YEAR(NovSun1+32)=AñoCalendario,MONTH(NovSun1+32)=11),NovSun1+32,""),IF(AND(YEAR(NovSun1+39)=AñoCalendario,MONTH(NovSun1+39)=11),NovSun1+39,""))</f>
        <v/>
      </c>
      <c r="G55" s="32" t="str">
        <f>IF(DAY(NovSun1)=1,IF(AND(YEAR(NovSun1+33)=AñoCalendario,MONTH(NovSun1+33)=11),NovSun1+33,""),IF(AND(YEAR(NovSun1+40)=AñoCalendario,MONTH(NovSun1+40)=11),NovSun1+40,""))</f>
        <v/>
      </c>
      <c r="H55" s="32" t="str">
        <f>IF(DAY(NovSun1)=1,IF(AND(YEAR(NovSun1+34)=AñoCalendario,MONTH(NovSun1+34)=11),NovSun1+34,""),IF(AND(YEAR(NovSun1+41)=AñoCalendario,MONTH(NovSun1+41)=11),NovSun1+41,""))</f>
        <v/>
      </c>
      <c r="I55" s="33" t="str">
        <f>IF(DAY(NovSun1)=1,IF(AND(YEAR(NovSun1+35)=AñoCalendario,MONTH(NovSun1+35)=11),NovSun1+35,""),IF(AND(YEAR(NovSun1+42)=AñoCalendario,MONTH(NovSun1+42)=11),NovSun1+42,""))</f>
        <v/>
      </c>
      <c r="J55" s="34"/>
      <c r="K55" s="31">
        <f>IF(DAY(DecSun1)=1,IF(AND(YEAR(DecSun1+29)=AñoCalendario,MONTH(DecSun1+29)=12),DecSun1+29,""),IF(AND(YEAR(DecSun1+36)=AñoCalendario,MONTH(DecSun1+36)=12),DecSun1+36,""))</f>
        <v>45656</v>
      </c>
      <c r="L55" s="32">
        <f>IF(DAY(DecSun1)=1,IF(AND(YEAR(DecSun1+30)=AñoCalendario,MONTH(DecSun1+30)=12),DecSun1+30,""),IF(AND(YEAR(DecSun1+37)=AñoCalendario,MONTH(DecSun1+37)=12),DecSun1+37,""))</f>
        <v>45657</v>
      </c>
      <c r="M55" s="32" t="str">
        <f>IF(DAY(DecSun1)=1,IF(AND(YEAR(DecSun1+31)=AñoCalendario,MONTH(DecSun1+31)=12),DecSun1+31,""),IF(AND(YEAR(DecSun1+38)=AñoCalendario,MONTH(DecSun1+38)=12),DecSun1+38,""))</f>
        <v/>
      </c>
      <c r="N55" s="32" t="str">
        <f>IF(DAY(DecSun1)=1,IF(AND(YEAR(DecSun1+32)=AñoCalendario,MONTH(DecSun1+32)=12),DecSun1+32,""),IF(AND(YEAR(DecSun1+39)=AñoCalendario,MONTH(DecSun1+39)=12),DecSun1+39,""))</f>
        <v/>
      </c>
      <c r="O55" s="32" t="str">
        <f>IF(DAY(DecSun1)=1,IF(AND(YEAR(DecSun1+33)=AñoCalendario,MONTH(DecSun1+33)=12),DecSun1+33,""),IF(AND(YEAR(DecSun1+40)=AñoCalendario,MONTH(DecSun1+40)=12),DecSun1+40,""))</f>
        <v/>
      </c>
      <c r="P55" s="32" t="str">
        <f>IF(DAY(DecSun1)=1,IF(AND(YEAR(DecSun1+34)=AñoCalendario,MONTH(DecSun1+34)=12),DecSun1+34,""),IF(AND(YEAR(DecSun1+41)=AñoCalendario,MONTH(DecSun1+41)=12),DecSun1+41,""))</f>
        <v/>
      </c>
      <c r="Q55" s="33" t="str">
        <f>IF(DAY(DecSun1)=1,IF(AND(YEAR(DecSun1+35)=AñoCalendario,MONTH(DecSun1+35)=12),DecSun1+35,""),IF(AND(YEAR(DecSun1+42)=AñoCalendario,MONTH(DecSun1+42)=12),DecSun1+42,""))</f>
        <v/>
      </c>
      <c r="R55" s="35"/>
      <c r="S55" s="36"/>
      <c r="T55" s="35"/>
      <c r="U55" s="116" t="s">
        <v>110</v>
      </c>
      <c r="V55" s="116"/>
      <c r="W55" s="117"/>
    </row>
    <row r="56" spans="1:23" ht="15" customHeight="1" x14ac:dyDescent="0.2">
      <c r="V56" s="37"/>
    </row>
    <row r="57" spans="1:23" ht="15" customHeight="1" x14ac:dyDescent="0.2">
      <c r="V57" s="37"/>
    </row>
    <row r="58" spans="1:23" ht="15" customHeight="1" x14ac:dyDescent="0.2"/>
    <row r="59" spans="1:23" ht="15" customHeight="1" x14ac:dyDescent="0.2"/>
    <row r="60" spans="1:23" ht="15" customHeight="1" x14ac:dyDescent="0.2"/>
    <row r="61" spans="1:23" ht="15" customHeight="1" x14ac:dyDescent="0.2"/>
    <row r="62" spans="1:23" ht="15" customHeight="1" x14ac:dyDescent="0.2"/>
    <row r="63" spans="1:23" ht="15" customHeight="1" x14ac:dyDescent="0.2"/>
    <row r="64" spans="1:23" ht="15" customHeight="1" x14ac:dyDescent="0.2"/>
    <row r="65" ht="15" customHeight="1" x14ac:dyDescent="0.2"/>
    <row r="66" ht="15" customHeight="1" x14ac:dyDescent="0.2"/>
    <row r="67" ht="15" customHeight="1" x14ac:dyDescent="0.2"/>
  </sheetData>
  <mergeCells count="29">
    <mergeCell ref="C39:I39"/>
    <mergeCell ref="K39:Q39"/>
    <mergeCell ref="C48:I48"/>
    <mergeCell ref="K48:Q48"/>
    <mergeCell ref="U55:W55"/>
    <mergeCell ref="U28:U37"/>
    <mergeCell ref="V28:V29"/>
    <mergeCell ref="W28:W29"/>
    <mergeCell ref="C30:I30"/>
    <mergeCell ref="K30:Q30"/>
    <mergeCell ref="V30:V37"/>
    <mergeCell ref="W32:W34"/>
    <mergeCell ref="C12:I12"/>
    <mergeCell ref="K12:Q12"/>
    <mergeCell ref="U16:U24"/>
    <mergeCell ref="V16:V19"/>
    <mergeCell ref="W16:W19"/>
    <mergeCell ref="V20:V21"/>
    <mergeCell ref="W20:W21"/>
    <mergeCell ref="C21:I21"/>
    <mergeCell ref="K21:Q21"/>
    <mergeCell ref="V22:V24"/>
    <mergeCell ref="W22:W24"/>
    <mergeCell ref="U7:W8"/>
    <mergeCell ref="C1:F1"/>
    <mergeCell ref="G1:Q1"/>
    <mergeCell ref="T1:W1"/>
    <mergeCell ref="C3:I3"/>
    <mergeCell ref="K3:Q3"/>
  </mergeCells>
  <dataValidations count="1">
    <dataValidation allowBlank="1" showInputMessage="1" showErrorMessage="1" errorTitle="Año no válido" error="Escriba un año entre 1900 y 9999 o use la barra de desplazamiento para buscar un año." sqref="C1"/>
  </dataValidations>
  <printOptions horizontalCentered="1" verticalCentered="1"/>
  <pageMargins left="0.25" right="0.25" top="0.75" bottom="0.75" header="0.3" footer="0.3"/>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ontrol numérico">
              <controlPr defaultSize="0" print="0" autoPict="0" altText="Use el botón de control numérico para cambiar de año natural o escriba el año en la celda C1">
                <anchor moveWithCells="1">
                  <from>
                    <xdr:col>1</xdr:col>
                    <xdr:colOff>114300</xdr:colOff>
                    <xdr:row>0</xdr:row>
                    <xdr:rowOff>38100</xdr:rowOff>
                  </from>
                  <to>
                    <xdr:col>2</xdr:col>
                    <xdr:colOff>47625</xdr:colOff>
                    <xdr:row>0</xdr:row>
                    <xdr:rowOff>342900</xdr:rowOff>
                  </to>
                </anchor>
              </controlPr>
            </control>
          </mc:Choice>
        </mc:AlternateContent>
      </controls>
    </mc:Choice>
  </mc:AlternateContent>
  <tableParts count="12">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Calendario anual 2024</vt:lpstr>
      <vt:lpstr>AñoCalendario</vt:lpstr>
      <vt:lpstr>'Calendario anual 2024'!Área_de_impresión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2024-01-05T17:53:06Z</dcterms:created>
  <dcterms:modified xsi:type="dcterms:W3CDTF">2024-08-28T00:38:00Z</dcterms:modified>
</cp:coreProperties>
</file>